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aveExternalLinkValues="0" codeName="ThisWorkbook" defaultThemeVersion="124226"/>
  <bookViews>
    <workbookView xWindow="28668" yWindow="48" windowWidth="16608" windowHeight="9432" tabRatio="967" activeTab="2"/>
  </bookViews>
  <sheets>
    <sheet name="Guidance" sheetId="63" r:id="rId1"/>
    <sheet name="Settings" sheetId="1" r:id="rId2"/>
    <sheet name="Title" sheetId="4" r:id="rId3"/>
    <sheet name="Change in Name" sheetId="96" r:id="rId4"/>
    <sheet name="SOCI" sheetId="6" r:id="rId5"/>
    <sheet name="SoFP" sheetId="7" r:id="rId6"/>
    <sheet name="SoCIE" sheetId="8" r:id="rId7"/>
    <sheet name="CF" sheetId="10" r:id="rId8"/>
    <sheet name="Acc'g policies 1" sheetId="82" r:id="rId9"/>
    <sheet name="Acc'g policies 1a" sheetId="94" r:id="rId10"/>
    <sheet name="Acc'g policies 2" sheetId="83" r:id="rId11"/>
    <sheet name="Acc'g policies 3" sheetId="84" r:id="rId12"/>
    <sheet name="Acc'g policies 3a" sheetId="89" r:id="rId13"/>
    <sheet name="Acc'g policies 4" sheetId="90" r:id="rId14"/>
    <sheet name="Acc'g policies 5" sheetId="86" r:id="rId15"/>
    <sheet name="Acc'g policies 6" sheetId="87" r:id="rId16"/>
    <sheet name="Acc'g policies 7" sheetId="88" r:id="rId17"/>
    <sheet name="Acc'g policies 8" sheetId="95" r:id="rId18"/>
    <sheet name="Op Inc" sheetId="12" r:id="rId19"/>
    <sheet name="Op Inc 2" sheetId="13" r:id="rId20"/>
    <sheet name="Op Inc 3" sheetId="79" r:id="rId21"/>
    <sheet name="Op Exp" sheetId="14" r:id="rId22"/>
    <sheet name="Audit &amp; Impair" sheetId="23" r:id="rId23"/>
    <sheet name="Pension costs" sheetId="61" r:id="rId24"/>
    <sheet name="Op lease &amp; Fin Inc" sheetId="56" r:id="rId25"/>
    <sheet name="Finance &amp; other" sheetId="21" r:id="rId26"/>
    <sheet name="Intangibles" sheetId="32" r:id="rId27"/>
    <sheet name="PPE" sheetId="26" r:id="rId28"/>
    <sheet name="PPE 1" sheetId="91" r:id="rId29"/>
    <sheet name="PPE 2" sheetId="54" r:id="rId30"/>
    <sheet name="PPE, Inv Prop" sheetId="60" r:id="rId31"/>
    <sheet name="Invent &amp; Receivables" sheetId="36" r:id="rId32"/>
    <sheet name="Receivables 2" sheetId="37" r:id="rId33"/>
    <sheet name="CCE &amp; Payables" sheetId="42" r:id="rId34"/>
    <sheet name="OL &amp; Borrowings" sheetId="44" r:id="rId35"/>
    <sheet name="Finance leases" sheetId="47" r:id="rId36"/>
    <sheet name="Provisions" sheetId="45" r:id="rId37"/>
    <sheet name="C&amp;O" sheetId="58" r:id="rId38"/>
    <sheet name="PFI LIFT Other" sheetId="48" r:id="rId39"/>
    <sheet name="PFI LIFT Other (2)" sheetId="92" r:id="rId40"/>
    <sheet name="FI1" sheetId="62" r:id="rId41"/>
    <sheet name="FI2" sheetId="49" r:id="rId42"/>
    <sheet name="FI2 (2)" sheetId="93" r:id="rId43"/>
    <sheet name="L&amp;SP, gifts, New Stds" sheetId="50" r:id="rId44"/>
    <sheet name="RP, Transfers, EARP" sheetId="77" r:id="rId45"/>
    <sheet name="CRL and breakeven duty" sheetId="75" r:id="rId46"/>
    <sheet name="breakeven duty 2" sheetId="76" r:id="rId47"/>
  </sheets>
  <definedNames>
    <definedName name="_AMO_UniqueIdentifier" hidden="1">"'1189b944-3049-479c-ac10-7bc3971be6ed'"</definedName>
    <definedName name="ApprovalDate" comment="Date of approval of financial statements">Settings!$C$24</definedName>
    <definedName name="ComparativeFY">Settings!$C$16</definedName>
    <definedName name="comparativestartyear">Settings!$C$20</definedName>
    <definedName name="ComparativeYear">Settings!$C$19</definedName>
    <definedName name="ComparativeYearEnd">Settings!$C$12</definedName>
    <definedName name="ComparativeYearStart">Settings!$C$13</definedName>
    <definedName name="CurrentFY">Settings!$C$15</definedName>
    <definedName name="CurrentYear">Settings!$C$18</definedName>
    <definedName name="CurrentYearEnd">Settings!$C$10</definedName>
    <definedName name="CurrentYearStart">Settings!$C$11</definedName>
    <definedName name="NextFY">Settings!$C$22</definedName>
    <definedName name="_xlnm.Print_Area" localSheetId="8">'Acc''g policies 1'!$B$1:$B$26</definedName>
    <definedName name="_xlnm.Print_Area" localSheetId="9">'Acc''g policies 1a'!$B$2:$B$33</definedName>
    <definedName name="_xlnm.Print_Area" localSheetId="10">'Acc''g policies 2'!$B$3:$B$43</definedName>
    <definedName name="_xlnm.Print_Area" localSheetId="11">'Acc''g policies 3'!$B$2:$B$29</definedName>
    <definedName name="_xlnm.Print_Area" localSheetId="12">'Acc''g policies 3a'!$B$2:$B$18</definedName>
    <definedName name="_xlnm.Print_Area" localSheetId="13">'Acc''g policies 4'!$B$3:$B$30</definedName>
    <definedName name="_xlnm.Print_Area" localSheetId="14">'Acc''g policies 5'!$B$2:$B$34</definedName>
    <definedName name="_xlnm.Print_Area" localSheetId="15">'Acc''g policies 6'!$B$1:$B$31</definedName>
    <definedName name="_xlnm.Print_Area" localSheetId="16">'Acc''g policies 7'!$B$1:$B$26</definedName>
    <definedName name="_xlnm.Print_Area" localSheetId="17">'Acc''g policies 8'!$B$2:$B$28</definedName>
    <definedName name="_xlnm.Print_Area" localSheetId="22">'Audit &amp; Impair'!$B$1:$E$53</definedName>
    <definedName name="_xlnm.Print_Area" localSheetId="46">'breakeven duty 2'!$B$2:$M$14</definedName>
    <definedName name="_xlnm.Print_Area" localSheetId="37">'C&amp;O'!$A$1:$E$27</definedName>
    <definedName name="_xlnm.Print_Area" localSheetId="33">'CCE &amp; Payables'!$B$2:$F$69</definedName>
    <definedName name="_xlnm.Print_Area" localSheetId="7">CF!$B$1:$F$59</definedName>
    <definedName name="_xlnm.Print_Area" localSheetId="45">'CRL and breakeven duty'!$A$1:$I$53</definedName>
    <definedName name="_xlnm.Print_Area" localSheetId="40">'FI1'!$B$1:$K$34</definedName>
    <definedName name="_xlnm.Print_Area" localSheetId="41">'FI2'!$B$1:$H$26</definedName>
    <definedName name="_xlnm.Print_Area" localSheetId="42">'FI2 (2)'!$B$1:$K$43</definedName>
    <definedName name="_xlnm.Print_Area" localSheetId="25">'Finance &amp; other'!$B$1:$E$44</definedName>
    <definedName name="_xlnm.Print_Area" localSheetId="35">'Finance leases'!$B$1:$E$29</definedName>
    <definedName name="_xlnm.Print_Area" localSheetId="0">Guidance!$A:$B</definedName>
    <definedName name="_xlnm.Print_Area" localSheetId="26">Intangibles!$B$1:$G$44</definedName>
    <definedName name="_xlnm.Print_Area" localSheetId="31">'Invent &amp; Receivables'!$A$1:$E$43</definedName>
    <definedName name="_xlnm.Print_Area" localSheetId="43">'L&amp;SP, gifts, New Stds'!$B$1:$I$35</definedName>
    <definedName name="_xlnm.Print_Area" localSheetId="34">'OL &amp; Borrowings'!$B$1:$I$54</definedName>
    <definedName name="_xlnm.Print_Area" localSheetId="21">'Op Exp'!$B$1:$E$52</definedName>
    <definedName name="_xlnm.Print_Area" localSheetId="18">'Op Inc'!$B$1:$E$41</definedName>
    <definedName name="_xlnm.Print_Area" localSheetId="19">'Op Inc 2'!$B$1:$E$38</definedName>
    <definedName name="_xlnm.Print_Area" localSheetId="20">'Op Inc 3'!$B$1:$E$38</definedName>
    <definedName name="_xlnm.Print_Area" localSheetId="24">'Op lease &amp; Fin Inc'!$B$1:$J$26</definedName>
    <definedName name="_xlnm.Print_Area" localSheetId="38">'PFI LIFT Other'!$B$1:$E$41</definedName>
    <definedName name="_xlnm.Print_Area" localSheetId="39">'PFI LIFT Other (2)'!$B$1:$E$33</definedName>
    <definedName name="_xlnm.Print_Area" localSheetId="27">PPE!$B$1:$O$27</definedName>
    <definedName name="_xlnm.Print_Area" localSheetId="28">'PPE 1'!$A$1:$Q$42</definedName>
    <definedName name="_xlnm.Print_Area" localSheetId="29">'PPE 2'!$B$1:$O$29</definedName>
    <definedName name="_xlnm.Print_Area" localSheetId="30">'PPE, Inv Prop'!$B$1:$E$42</definedName>
    <definedName name="_xlnm.Print_Area" localSheetId="36">Provisions!$B$1:$L$36</definedName>
    <definedName name="_xlnm.Print_Area" localSheetId="32">'Receivables 2'!$A$1:$G$49</definedName>
    <definedName name="_xlnm.Print_Area" localSheetId="44">'RP, Transfers, EARP'!$B$1:$I$57</definedName>
    <definedName name="_xlnm.Print_Area" localSheetId="1">Settings!$B:$C</definedName>
    <definedName name="_xlnm.Print_Area" localSheetId="4">SOCI!$B$1:$F$46</definedName>
    <definedName name="_xlnm.Print_Area" localSheetId="6">SoCIE!$A$1:$I$28</definedName>
    <definedName name="_xlnm.Print_Area" localSheetId="5">SoFP!$B$1:$G$67</definedName>
    <definedName name="SelectedFT">Settings!$C$7</definedName>
    <definedName name="Status">Settings!$C$8</definedName>
    <definedName name="Z_EDC1BD6E_863A_4FC6_A3A9_F32079F4F0C1_.wvu.PrintArea" localSheetId="8" hidden="1">'Acc''g policies 1'!$A$1:$D$39</definedName>
    <definedName name="Z_EDC1BD6E_863A_4FC6_A3A9_F32079F4F0C1_.wvu.PrintArea" localSheetId="9" hidden="1">'Acc''g policies 1a'!$A$1:$D$8</definedName>
    <definedName name="Z_EDC1BD6E_863A_4FC6_A3A9_F32079F4F0C1_.wvu.PrintArea" localSheetId="10" hidden="1">'Acc''g policies 2'!$A$1:$D$20</definedName>
    <definedName name="Z_EDC1BD6E_863A_4FC6_A3A9_F32079F4F0C1_.wvu.PrintArea" localSheetId="11" hidden="1">'Acc''g policies 3'!$A$1:$D$40</definedName>
    <definedName name="Z_EDC1BD6E_863A_4FC6_A3A9_F32079F4F0C1_.wvu.PrintArea" localSheetId="14" hidden="1">'Acc''g policies 5'!$A$2:$D$74</definedName>
    <definedName name="Z_EDC1BD6E_863A_4FC6_A3A9_F32079F4F0C1_.wvu.PrintArea" localSheetId="15" hidden="1">'Acc''g policies 6'!$A$19:$D$61</definedName>
    <definedName name="Z_EDC1BD6E_863A_4FC6_A3A9_F32079F4F0C1_.wvu.PrintArea" localSheetId="16" hidden="1">'Acc''g policies 7'!$A$5:$D$71</definedName>
    <definedName name="Z_EDC1BD6E_863A_4FC6_A3A9_F32079F4F0C1_.wvu.PrintArea" localSheetId="5" hidden="1">SoFP!$B$1:$G$67</definedName>
    <definedName name="Z_EDC1BD6E_863A_4FC6_A3A9_F32079F4F0C1_.wvu.Rows" localSheetId="1" hidden="1">Settings!$35:$191</definedName>
  </definedNames>
  <calcPr calcId="145621"/>
  <customWorkbookViews>
    <customWorkbookView name="ES" guid="{EDC1BD6E-863A-4FC6-A3A9-F32079F4F0C1}" maximized="1" windowWidth="1920" windowHeight="849" tabRatio="895" activeSheetId="20"/>
  </customWorkbookViews>
</workbook>
</file>

<file path=xl/calcChain.xml><?xml version="1.0" encoding="utf-8"?>
<calcChain xmlns="http://schemas.openxmlformats.org/spreadsheetml/2006/main">
  <c r="C48" i="75" l="1"/>
  <c r="I9" i="8" l="1"/>
  <c r="I8" i="8"/>
  <c r="D7" i="6"/>
  <c r="G9" i="37" l="1"/>
  <c r="O17" i="26" l="1"/>
  <c r="O8" i="26"/>
  <c r="C12" i="14"/>
  <c r="C11" i="14"/>
  <c r="I10" i="8"/>
  <c r="H9" i="49" l="1"/>
  <c r="C24" i="36"/>
  <c r="C17" i="36"/>
  <c r="B26" i="92" l="1"/>
  <c r="G37" i="44"/>
  <c r="D6" i="6" l="1"/>
  <c r="I47" i="44" l="1"/>
  <c r="H10" i="56" l="1"/>
  <c r="F20" i="56" l="1"/>
  <c r="D20" i="56"/>
  <c r="G11" i="37" l="1"/>
  <c r="G10" i="37"/>
  <c r="G8" i="37"/>
  <c r="G7" i="37"/>
  <c r="G6" i="37"/>
  <c r="G5" i="37"/>
  <c r="G4" i="37"/>
  <c r="C33" i="37"/>
  <c r="G14" i="37" l="1"/>
  <c r="C27" i="79"/>
  <c r="C26" i="79"/>
  <c r="D27" i="8" l="1"/>
  <c r="I25" i="8"/>
  <c r="I24" i="8"/>
  <c r="G27" i="8" l="1"/>
  <c r="B27" i="8"/>
  <c r="D50" i="42" l="1"/>
  <c r="E26" i="36" l="1"/>
  <c r="O15" i="26" l="1"/>
  <c r="G29" i="32"/>
  <c r="O6" i="26" l="1"/>
  <c r="G34" i="32"/>
  <c r="G35" i="32"/>
  <c r="B24" i="60" l="1"/>
  <c r="E40" i="37" l="1"/>
  <c r="C40" i="37"/>
  <c r="B54" i="44" l="1"/>
  <c r="B46" i="44"/>
  <c r="A49" i="44"/>
  <c r="E3" i="36"/>
  <c r="C3" i="36"/>
  <c r="A21" i="95"/>
  <c r="I52" i="44" l="1"/>
  <c r="I46" i="44"/>
  <c r="I15" i="50"/>
  <c r="I11" i="50"/>
  <c r="I49" i="44"/>
  <c r="I50" i="44"/>
  <c r="I53" i="44"/>
  <c r="E54" i="44"/>
  <c r="G54" i="44"/>
  <c r="C54" i="44"/>
  <c r="E8" i="36"/>
  <c r="C8" i="36"/>
  <c r="A24" i="95"/>
  <c r="F36" i="42"/>
  <c r="D36" i="42"/>
  <c r="I17" i="50" l="1"/>
  <c r="D60" i="42"/>
  <c r="I54" i="44"/>
  <c r="F50" i="42"/>
  <c r="F60" i="42"/>
  <c r="B28" i="32"/>
  <c r="B34" i="32"/>
  <c r="B25" i="91"/>
  <c r="B8" i="91"/>
  <c r="A2" i="94" l="1"/>
  <c r="A23" i="94" s="1"/>
  <c r="C38" i="79"/>
  <c r="C33" i="79"/>
  <c r="E38" i="79"/>
  <c r="E33" i="79"/>
  <c r="B23" i="94" l="1"/>
  <c r="A27" i="94"/>
  <c r="B27" i="94" s="1"/>
  <c r="B2" i="94"/>
  <c r="E49" i="37" l="1"/>
  <c r="C49" i="37"/>
  <c r="K36" i="93" l="1"/>
  <c r="I36" i="93"/>
  <c r="B26" i="93"/>
  <c r="B18" i="93"/>
  <c r="B14" i="93"/>
  <c r="B6" i="93"/>
  <c r="E24" i="92"/>
  <c r="C24" i="92"/>
  <c r="E16" i="92"/>
  <c r="E5" i="92"/>
  <c r="C5" i="92"/>
  <c r="B3" i="92"/>
  <c r="I39" i="44"/>
  <c r="G39" i="44"/>
  <c r="E39" i="44"/>
  <c r="C16" i="92" l="1"/>
  <c r="K43" i="93"/>
  <c r="I43" i="93"/>
  <c r="K26" i="93"/>
  <c r="E32" i="92"/>
  <c r="E8" i="92"/>
  <c r="C8" i="92"/>
  <c r="C32" i="92"/>
  <c r="G7" i="44"/>
  <c r="I7" i="44"/>
  <c r="K14" i="93" l="1"/>
  <c r="B41" i="91"/>
  <c r="B40" i="91"/>
  <c r="B37" i="91"/>
  <c r="O25" i="91"/>
  <c r="N25" i="91"/>
  <c r="J25" i="91"/>
  <c r="H25" i="91"/>
  <c r="F25" i="91"/>
  <c r="B21" i="91"/>
  <c r="B19" i="91"/>
  <c r="O8" i="91"/>
  <c r="N8" i="91"/>
  <c r="L8" i="91"/>
  <c r="J8" i="91"/>
  <c r="F8" i="91"/>
  <c r="E8" i="91"/>
  <c r="C8" i="91"/>
  <c r="B5" i="91"/>
  <c r="H8" i="91" l="1"/>
  <c r="H19" i="91" s="1"/>
  <c r="G5" i="26" s="1"/>
  <c r="H37" i="91"/>
  <c r="O37" i="91"/>
  <c r="Q9" i="91"/>
  <c r="Q10" i="91"/>
  <c r="Q11" i="91"/>
  <c r="Q12" i="91"/>
  <c r="Q13" i="91"/>
  <c r="Q14" i="91"/>
  <c r="Q15" i="91"/>
  <c r="Q16" i="91"/>
  <c r="Q17" i="91"/>
  <c r="F37" i="91"/>
  <c r="N37" i="91"/>
  <c r="M14" i="26" s="1"/>
  <c r="C19" i="91"/>
  <c r="C5" i="26" s="1"/>
  <c r="E19" i="91"/>
  <c r="E5" i="26" s="1"/>
  <c r="L19" i="91"/>
  <c r="K5" i="26" s="1"/>
  <c r="Q21" i="91"/>
  <c r="J37" i="91"/>
  <c r="I14" i="26" s="1"/>
  <c r="Q22" i="91"/>
  <c r="J19" i="91"/>
  <c r="I5" i="26" s="1"/>
  <c r="Q5" i="91"/>
  <c r="Q6" i="91"/>
  <c r="E25" i="91"/>
  <c r="E37" i="91" s="1"/>
  <c r="E14" i="26" s="1"/>
  <c r="L25" i="91"/>
  <c r="L37" i="91" s="1"/>
  <c r="K14" i="26" s="1"/>
  <c r="C25" i="91"/>
  <c r="C37" i="91" s="1"/>
  <c r="C14" i="26" s="1"/>
  <c r="Q26" i="91"/>
  <c r="Q27" i="91"/>
  <c r="Q28" i="91"/>
  <c r="Q29" i="91"/>
  <c r="Q30" i="91"/>
  <c r="Q31" i="91"/>
  <c r="Q32" i="91"/>
  <c r="Q33" i="91"/>
  <c r="Q34" i="91"/>
  <c r="Q35" i="91"/>
  <c r="F41" i="91"/>
  <c r="F19" i="91"/>
  <c r="N41" i="91"/>
  <c r="N19" i="91"/>
  <c r="M5" i="26" s="1"/>
  <c r="O19" i="91"/>
  <c r="O41" i="91"/>
  <c r="J41" i="91"/>
  <c r="E26" i="23"/>
  <c r="C26" i="23"/>
  <c r="A22" i="79"/>
  <c r="B22" i="79" s="1"/>
  <c r="O14" i="26" l="1"/>
  <c r="H41" i="91"/>
  <c r="C38" i="23"/>
  <c r="Q25" i="91"/>
  <c r="Q37" i="91" s="1"/>
  <c r="J40" i="91"/>
  <c r="E40" i="91"/>
  <c r="L40" i="91"/>
  <c r="C40" i="91"/>
  <c r="L41" i="91"/>
  <c r="Q8" i="91"/>
  <c r="Q19" i="91" s="1"/>
  <c r="C41" i="91"/>
  <c r="E41" i="91"/>
  <c r="F40" i="91"/>
  <c r="O40" i="91"/>
  <c r="N40" i="91"/>
  <c r="H40" i="91"/>
  <c r="E38" i="23"/>
  <c r="Q41" i="91" l="1"/>
  <c r="Q40" i="91"/>
  <c r="A34" i="82" l="1"/>
  <c r="A51" i="82" s="1"/>
  <c r="A1" i="83" s="1"/>
  <c r="A3" i="83" s="1"/>
  <c r="A8" i="83" l="1"/>
  <c r="B3" i="83"/>
  <c r="C35" i="36"/>
  <c r="C48" i="14"/>
  <c r="G8" i="32"/>
  <c r="G7" i="32"/>
  <c r="G6" i="32"/>
  <c r="B8" i="83" l="1"/>
  <c r="A17" i="83"/>
  <c r="A22" i="83" s="1"/>
  <c r="A11" i="89" s="1"/>
  <c r="B11" i="89" l="1"/>
  <c r="A16" i="89"/>
  <c r="B16" i="89" s="1"/>
  <c r="A24" i="83"/>
  <c r="B22" i="83"/>
  <c r="B24" i="83" l="1"/>
  <c r="A2" i="84"/>
  <c r="C21" i="48"/>
  <c r="E12" i="47"/>
  <c r="C37" i="48" l="1"/>
  <c r="C12" i="47"/>
  <c r="A40" i="88" l="1"/>
  <c r="A8" i="82"/>
  <c r="A11" i="82" s="1"/>
  <c r="B5" i="82"/>
  <c r="B3" i="82"/>
  <c r="A43" i="88" l="1"/>
  <c r="B11" i="82"/>
  <c r="B8" i="82"/>
  <c r="B3" i="12" l="1"/>
  <c r="B17" i="83" l="1"/>
  <c r="A1" i="84"/>
  <c r="A1" i="90" s="1"/>
  <c r="A2" i="90" l="1"/>
  <c r="A39" i="84"/>
  <c r="A14" i="90"/>
  <c r="A7" i="89" l="1"/>
  <c r="B7" i="89" s="1"/>
  <c r="B2" i="84"/>
  <c r="A9" i="90"/>
  <c r="A3" i="90"/>
  <c r="A35" i="84"/>
  <c r="B3" i="90" l="1"/>
  <c r="A7" i="90"/>
  <c r="B7" i="90" l="1"/>
  <c r="A11" i="90"/>
  <c r="A15" i="90" l="1"/>
  <c r="B11" i="90"/>
  <c r="A19" i="90" l="1"/>
  <c r="B15" i="90"/>
  <c r="B19" i="90" l="1"/>
  <c r="A23" i="90"/>
  <c r="A1" i="86" l="1"/>
  <c r="A27" i="90"/>
  <c r="B27" i="90" s="1"/>
  <c r="B23" i="90"/>
  <c r="A2" i="86" l="1"/>
  <c r="B2" i="86" l="1"/>
  <c r="A6" i="86"/>
  <c r="B6" i="86" s="1"/>
  <c r="A10" i="86"/>
  <c r="B10" i="86" l="1"/>
  <c r="A16" i="86"/>
  <c r="B16" i="86" l="1"/>
  <c r="A20" i="86"/>
  <c r="A24" i="86" l="1"/>
  <c r="B20" i="86"/>
  <c r="B24" i="86" l="1"/>
  <c r="A19" i="87"/>
  <c r="A23" i="87" l="1"/>
  <c r="A1" i="88" s="1"/>
  <c r="B1" i="88" s="1"/>
  <c r="B19" i="87"/>
  <c r="A35" i="87"/>
  <c r="B23" i="87" l="1"/>
  <c r="A31" i="87"/>
  <c r="A5" i="88" l="1"/>
  <c r="B10" i="32"/>
  <c r="B17" i="49"/>
  <c r="B5" i="88" l="1"/>
  <c r="A9" i="88"/>
  <c r="E35" i="36"/>
  <c r="E37" i="36" s="1"/>
  <c r="F54" i="10"/>
  <c r="E17" i="79"/>
  <c r="B9" i="88" l="1"/>
  <c r="A13" i="88"/>
  <c r="B13" i="88" s="1"/>
  <c r="B7" i="49"/>
  <c r="A17" i="88" l="1"/>
  <c r="B17" i="88" s="1"/>
  <c r="B33" i="37"/>
  <c r="B24" i="37"/>
  <c r="B14" i="37"/>
  <c r="B4" i="37"/>
  <c r="A21" i="88" l="1"/>
  <c r="B21" i="88" s="1"/>
  <c r="A25" i="88" l="1"/>
  <c r="A2" i="95" s="1"/>
  <c r="E12" i="79"/>
  <c r="E3" i="79"/>
  <c r="C13" i="13"/>
  <c r="E13" i="13"/>
  <c r="E24" i="79"/>
  <c r="C24" i="79"/>
  <c r="A6" i="95" l="1"/>
  <c r="B2" i="95"/>
  <c r="A29" i="88"/>
  <c r="C33" i="13"/>
  <c r="E33" i="13"/>
  <c r="E28" i="79"/>
  <c r="C28" i="79"/>
  <c r="A11" i="95" l="1"/>
  <c r="A29" i="95" s="1"/>
  <c r="A32" i="95" s="1"/>
  <c r="B6" i="95"/>
  <c r="A32" i="88"/>
  <c r="E14" i="21"/>
  <c r="E18" i="21" s="1"/>
  <c r="C14" i="21"/>
  <c r="A37" i="88" l="1"/>
  <c r="A48" i="88" s="1"/>
  <c r="A51" i="88" s="1"/>
  <c r="D48" i="10" l="1"/>
  <c r="I11" i="8"/>
  <c r="C8" i="1" l="1"/>
  <c r="C7" i="1"/>
  <c r="B3" i="47" l="1"/>
  <c r="B3" i="56"/>
  <c r="G28" i="32" l="1"/>
  <c r="A27" i="8"/>
  <c r="A23" i="8"/>
  <c r="A13" i="8"/>
  <c r="A6" i="8"/>
  <c r="E40" i="75" l="1"/>
  <c r="E43" i="75" s="1"/>
  <c r="E34" i="75" l="1"/>
  <c r="E28" i="75"/>
  <c r="E31" i="75" s="1"/>
  <c r="G14" i="32" l="1"/>
  <c r="I13" i="75" l="1"/>
  <c r="G13" i="75"/>
  <c r="E13" i="75"/>
  <c r="C13" i="75"/>
  <c r="I8" i="75"/>
  <c r="G8" i="75"/>
  <c r="E8" i="75"/>
  <c r="C8" i="75"/>
  <c r="M3" i="76" l="1"/>
  <c r="L3" i="76"/>
  <c r="C46" i="75"/>
  <c r="C34" i="75"/>
  <c r="I3" i="75"/>
  <c r="G3" i="75"/>
  <c r="E3" i="75"/>
  <c r="C3" i="75"/>
  <c r="G15" i="50"/>
  <c r="E15" i="50"/>
  <c r="C15" i="50"/>
  <c r="G11" i="50"/>
  <c r="E11" i="50"/>
  <c r="C11" i="50"/>
  <c r="G4" i="50"/>
  <c r="C4" i="50"/>
  <c r="B21" i="49"/>
  <c r="B11" i="49"/>
  <c r="B37" i="48"/>
  <c r="E35" i="48"/>
  <c r="C35" i="48"/>
  <c r="E19" i="48"/>
  <c r="C19" i="48"/>
  <c r="E3" i="58"/>
  <c r="C3" i="58"/>
  <c r="B15" i="45"/>
  <c r="B6" i="45"/>
  <c r="E9" i="47"/>
  <c r="C9" i="47"/>
  <c r="I25" i="44"/>
  <c r="F6" i="42"/>
  <c r="D6" i="42"/>
  <c r="E14" i="36"/>
  <c r="C14" i="36"/>
  <c r="B27" i="54"/>
  <c r="B19" i="54"/>
  <c r="B13" i="54"/>
  <c r="B5" i="54"/>
  <c r="B23" i="26"/>
  <c r="B22" i="26"/>
  <c r="B20" i="26"/>
  <c r="B14" i="26"/>
  <c r="B12" i="26"/>
  <c r="B5" i="26"/>
  <c r="B40" i="32"/>
  <c r="B38" i="32"/>
  <c r="B31" i="32"/>
  <c r="B19" i="32"/>
  <c r="B16" i="32"/>
  <c r="B12" i="32"/>
  <c r="B5" i="32"/>
  <c r="E30" i="21"/>
  <c r="C30" i="21"/>
  <c r="E4" i="21"/>
  <c r="C4" i="21"/>
  <c r="J7" i="56"/>
  <c r="C14" i="23"/>
  <c r="E3" i="23"/>
  <c r="C3" i="23"/>
  <c r="E3" i="14"/>
  <c r="C3" i="14"/>
  <c r="E3" i="13"/>
  <c r="C3" i="13"/>
  <c r="E39" i="12"/>
  <c r="E25" i="12"/>
  <c r="C25" i="12"/>
  <c r="E6" i="12"/>
  <c r="C6" i="12"/>
  <c r="B1" i="12"/>
  <c r="F2" i="10"/>
  <c r="D2" i="10"/>
  <c r="A18" i="8"/>
  <c r="A1" i="8"/>
  <c r="G3" i="7"/>
  <c r="E3" i="7"/>
  <c r="F3" i="6"/>
  <c r="D3" i="6"/>
  <c r="B10" i="4"/>
  <c r="G17" i="50" l="1"/>
  <c r="E17" i="50"/>
  <c r="C17" i="50"/>
  <c r="B17" i="48"/>
  <c r="E21" i="48"/>
  <c r="D22" i="42"/>
  <c r="D25" i="42" s="1"/>
  <c r="C11" i="58"/>
  <c r="F30" i="10"/>
  <c r="C19" i="12"/>
  <c r="L10" i="45"/>
  <c r="G25" i="44"/>
  <c r="B7" i="4"/>
  <c r="G13" i="32"/>
  <c r="O7" i="26"/>
  <c r="O9" i="26"/>
  <c r="O10" i="26"/>
  <c r="E19" i="12"/>
  <c r="E14" i="23"/>
  <c r="H20" i="56"/>
  <c r="C35" i="21"/>
  <c r="I23" i="8"/>
  <c r="I27" i="8" s="1"/>
  <c r="C39" i="12"/>
  <c r="J20" i="56"/>
  <c r="E35" i="21"/>
  <c r="E43" i="21" s="1"/>
  <c r="L18" i="45"/>
  <c r="O21" i="54"/>
  <c r="O22" i="54"/>
  <c r="O23" i="54"/>
  <c r="O24" i="54"/>
  <c r="O25" i="54"/>
  <c r="L9" i="45"/>
  <c r="L13" i="45"/>
  <c r="E11" i="58"/>
  <c r="C27" i="48"/>
  <c r="F11" i="42"/>
  <c r="F22" i="42"/>
  <c r="F25" i="42" s="1"/>
  <c r="L12" i="45"/>
  <c r="E27" i="48"/>
  <c r="O16" i="26"/>
  <c r="O18" i="26"/>
  <c r="O7" i="54"/>
  <c r="O8" i="54"/>
  <c r="O9" i="54"/>
  <c r="O10" i="54"/>
  <c r="O11" i="54"/>
  <c r="I17" i="44"/>
  <c r="I27" i="44" s="1"/>
  <c r="E18" i="47"/>
  <c r="L8" i="45"/>
  <c r="L11" i="45"/>
  <c r="L19" i="45"/>
  <c r="E37" i="48"/>
  <c r="A6" i="12"/>
  <c r="B6" i="12" s="1"/>
  <c r="C5" i="6"/>
  <c r="H21" i="49" l="1"/>
  <c r="H11" i="49"/>
  <c r="A23" i="12"/>
  <c r="A1" i="13" l="1"/>
  <c r="A12" i="13" s="1"/>
  <c r="B23" i="12"/>
  <c r="A1" i="79" l="1"/>
  <c r="B1" i="13"/>
  <c r="B1" i="79" l="1"/>
  <c r="A10" i="79"/>
  <c r="B12" i="13"/>
  <c r="C6" i="6"/>
  <c r="C9" i="10"/>
  <c r="C43" i="21" l="1"/>
  <c r="C18" i="47" l="1"/>
  <c r="G17" i="44" l="1"/>
  <c r="G27" i="44" s="1"/>
  <c r="B10" i="79" l="1"/>
  <c r="A1" i="14" l="1"/>
  <c r="C7" i="6" l="1"/>
  <c r="C7" i="10"/>
  <c r="A1" i="23"/>
  <c r="B1" i="14"/>
  <c r="B1" i="23" l="1"/>
  <c r="A18" i="23"/>
  <c r="B18" i="23" l="1"/>
  <c r="A24" i="23"/>
  <c r="A1" i="61" l="1"/>
  <c r="B24" i="23"/>
  <c r="A48" i="23"/>
  <c r="B48" i="23" s="1"/>
  <c r="B1" i="61" l="1"/>
  <c r="A1" i="56"/>
  <c r="A24" i="56" s="1"/>
  <c r="C10" i="6" s="1"/>
  <c r="B24" i="56" l="1"/>
  <c r="A1" i="21"/>
  <c r="A2" i="56"/>
  <c r="B1" i="56"/>
  <c r="B1" i="21" l="1"/>
  <c r="C11" i="6"/>
  <c r="A23" i="21"/>
  <c r="A29" i="21" l="1"/>
  <c r="B23" i="21"/>
  <c r="A1" i="32" l="1"/>
  <c r="B29" i="21"/>
  <c r="C15" i="6"/>
  <c r="C20" i="6" l="1"/>
  <c r="D6" i="7" l="1"/>
  <c r="B2" i="32"/>
  <c r="A23" i="32"/>
  <c r="B23" i="32" l="1"/>
  <c r="A1" i="26"/>
  <c r="A1" i="91" l="1"/>
  <c r="B1" i="91" s="1"/>
  <c r="A34" i="26"/>
  <c r="B1" i="26"/>
  <c r="D7" i="7"/>
  <c r="A1" i="54" l="1"/>
  <c r="B1" i="54" l="1"/>
  <c r="A16" i="54"/>
  <c r="B16" i="54" l="1"/>
  <c r="A1" i="60"/>
  <c r="B1" i="60" s="1"/>
  <c r="A5" i="60" l="1"/>
  <c r="A23" i="60" l="1"/>
  <c r="A28" i="60" s="1"/>
  <c r="B5" i="60"/>
  <c r="C29" i="6"/>
  <c r="A33" i="60" l="1"/>
  <c r="A1" i="36"/>
  <c r="D16" i="7" s="1"/>
  <c r="B28" i="60"/>
  <c r="D8" i="7"/>
  <c r="B1" i="36" l="1"/>
  <c r="A13" i="36"/>
  <c r="C16" i="6"/>
  <c r="D18" i="7" l="1"/>
  <c r="B13" i="36" l="1"/>
  <c r="D11" i="7" l="1"/>
  <c r="D17" i="7"/>
  <c r="A1" i="37"/>
  <c r="B1" i="37" s="1"/>
  <c r="A19" i="37" l="1"/>
  <c r="A36" i="37" s="1"/>
  <c r="A1" i="42" s="1"/>
  <c r="A2" i="42" s="1"/>
  <c r="A35" i="42" s="1"/>
  <c r="A1" i="44" l="1"/>
  <c r="A6" i="44" s="1"/>
  <c r="D25" i="7"/>
  <c r="B35" i="42"/>
  <c r="A69" i="42"/>
  <c r="B36" i="37"/>
  <c r="B19" i="37"/>
  <c r="D29" i="7" l="1"/>
  <c r="B1" i="44"/>
  <c r="A42" i="44"/>
  <c r="B42" i="44" s="1"/>
  <c r="A1" i="47"/>
  <c r="A1" i="45" s="1"/>
  <c r="D30" i="7"/>
  <c r="A36" i="45" l="1"/>
  <c r="A1" i="58"/>
  <c r="A28" i="42"/>
  <c r="C59" i="10"/>
  <c r="D21" i="7"/>
  <c r="B2" i="42"/>
  <c r="A5" i="44" l="1"/>
  <c r="B28" i="42"/>
  <c r="D41" i="7" l="1"/>
  <c r="D26" i="7" l="1"/>
  <c r="B6" i="44"/>
  <c r="D38" i="7"/>
  <c r="B1" i="47" l="1"/>
  <c r="B1" i="45" l="1"/>
  <c r="D28" i="7" l="1"/>
  <c r="A2" i="58"/>
  <c r="D40" i="7"/>
  <c r="B2" i="58" l="1"/>
  <c r="A21" i="58"/>
  <c r="A1" i="48" s="1"/>
  <c r="A20" i="92" l="1"/>
  <c r="B20" i="92" s="1"/>
  <c r="B1" i="48"/>
  <c r="B21" i="58"/>
  <c r="A1" i="62" l="1"/>
  <c r="A1" i="50" s="1"/>
  <c r="A22" i="50" s="1"/>
  <c r="A29" i="50" l="1"/>
  <c r="B29" i="50" s="1"/>
  <c r="A1" i="77"/>
  <c r="A16" i="48"/>
  <c r="A33" i="48" l="1"/>
  <c r="A1" i="92" s="1"/>
  <c r="B1" i="92" s="1"/>
  <c r="B16" i="48"/>
  <c r="B33" i="48" l="1"/>
  <c r="A3" i="62" l="1"/>
  <c r="B1" i="62"/>
  <c r="A1" i="49" l="1"/>
  <c r="A1" i="93" s="1"/>
  <c r="B3" i="62"/>
  <c r="A29" i="93" l="1"/>
  <c r="B1" i="93"/>
  <c r="B1" i="49"/>
  <c r="A35" i="93" l="1"/>
  <c r="B35" i="93" s="1"/>
  <c r="B29" i="93"/>
  <c r="B1" i="50" l="1"/>
  <c r="A25" i="50"/>
  <c r="A2" i="75" l="1"/>
  <c r="B1" i="77" l="1"/>
  <c r="C56" i="10" l="1"/>
  <c r="C17" i="6"/>
  <c r="B2" i="75" l="1"/>
  <c r="A21" i="75"/>
  <c r="B21" i="75" l="1"/>
  <c r="A33" i="75"/>
  <c r="B33" i="75" l="1"/>
  <c r="A45" i="75"/>
  <c r="B45" i="75" l="1"/>
  <c r="A2" i="76"/>
  <c r="B2" i="76" l="1"/>
  <c r="A11" i="76"/>
  <c r="B11" i="76" s="1"/>
  <c r="F48" i="10"/>
  <c r="E31" i="32" l="1"/>
  <c r="E38" i="32"/>
  <c r="E12" i="32" s="1"/>
  <c r="E16" i="32" s="1"/>
  <c r="L7" i="45"/>
  <c r="C31" i="32"/>
  <c r="C38" i="32"/>
  <c r="C12" i="32" s="1"/>
  <c r="B6" i="8"/>
  <c r="B13" i="8" s="1"/>
  <c r="L14" i="45"/>
  <c r="C18" i="21"/>
  <c r="G12" i="32" l="1"/>
  <c r="G16" i="32" s="1"/>
  <c r="C16" i="32"/>
  <c r="C5" i="32"/>
  <c r="C10" i="32" s="1"/>
  <c r="C40" i="32"/>
  <c r="E5" i="32"/>
  <c r="E40" i="32"/>
  <c r="F13" i="6"/>
  <c r="M20" i="26"/>
  <c r="I20" i="26"/>
  <c r="J15" i="45"/>
  <c r="G15" i="45"/>
  <c r="C14" i="37"/>
  <c r="F15" i="45"/>
  <c r="K20" i="26"/>
  <c r="H15" i="45"/>
  <c r="G31" i="32"/>
  <c r="G20" i="26"/>
  <c r="M27" i="54"/>
  <c r="D15" i="45"/>
  <c r="K13" i="54"/>
  <c r="K27" i="54"/>
  <c r="E48" i="14"/>
  <c r="G21" i="45"/>
  <c r="F16" i="42"/>
  <c r="D9" i="42" s="1"/>
  <c r="D11" i="42" s="1"/>
  <c r="G27" i="54"/>
  <c r="I27" i="54"/>
  <c r="C19" i="32" l="1"/>
  <c r="G40" i="32"/>
  <c r="G13" i="54"/>
  <c r="C40" i="75"/>
  <c r="C43" i="75" s="1"/>
  <c r="G38" i="32"/>
  <c r="E10" i="32"/>
  <c r="E19" i="32" s="1"/>
  <c r="I13" i="54"/>
  <c r="M13" i="54"/>
  <c r="I15" i="45"/>
  <c r="K12" i="26"/>
  <c r="K22" i="26" s="1"/>
  <c r="K23" i="26"/>
  <c r="H21" i="45"/>
  <c r="D16" i="42"/>
  <c r="F21" i="45"/>
  <c r="J21" i="45"/>
  <c r="C15" i="45" l="1"/>
  <c r="L6" i="45"/>
  <c r="L15" i="45" s="1"/>
  <c r="I23" i="26"/>
  <c r="I12" i="26"/>
  <c r="I22" i="26" s="1"/>
  <c r="C27" i="54"/>
  <c r="D30" i="10"/>
  <c r="C20" i="26"/>
  <c r="M12" i="26"/>
  <c r="M22" i="26" s="1"/>
  <c r="M23" i="26"/>
  <c r="G12" i="26"/>
  <c r="G22" i="26" s="1"/>
  <c r="G23" i="26"/>
  <c r="G5" i="32"/>
  <c r="G10" i="32" s="1"/>
  <c r="G19" i="32" s="1"/>
  <c r="C12" i="26"/>
  <c r="C23" i="26"/>
  <c r="D6" i="8"/>
  <c r="D13" i="8" s="1"/>
  <c r="E48" i="7" s="1"/>
  <c r="E31" i="7"/>
  <c r="G31" i="7"/>
  <c r="D21" i="45"/>
  <c r="D13" i="6" l="1"/>
  <c r="C22" i="26"/>
  <c r="E12" i="26"/>
  <c r="I21" i="45"/>
  <c r="O5" i="26"/>
  <c r="O12" i="26" s="1"/>
  <c r="G42" i="7" l="1"/>
  <c r="D8" i="6"/>
  <c r="D19" i="6" s="1"/>
  <c r="D21" i="6" s="1"/>
  <c r="D27" i="6" s="1"/>
  <c r="D31" i="6" s="1"/>
  <c r="F8" i="6"/>
  <c r="F19" i="6" s="1"/>
  <c r="F21" i="6" s="1"/>
  <c r="F27" i="6" s="1"/>
  <c r="F31" i="6" s="1"/>
  <c r="L20" i="45"/>
  <c r="L21" i="45" s="1"/>
  <c r="C21" i="45"/>
  <c r="F36" i="6" l="1"/>
  <c r="D36" i="6"/>
  <c r="D43" i="6" s="1"/>
  <c r="G22" i="7"/>
  <c r="C13" i="54"/>
  <c r="E42" i="7"/>
  <c r="F43" i="6" l="1"/>
  <c r="F20" i="10"/>
  <c r="F50" i="10" s="1"/>
  <c r="F59" i="10" s="1"/>
  <c r="D52" i="10" s="1"/>
  <c r="D54" i="10" s="1"/>
  <c r="C53" i="75"/>
  <c r="E20" i="26"/>
  <c r="E22" i="26" s="1"/>
  <c r="O22" i="26" s="1"/>
  <c r="O20" i="26"/>
  <c r="E23" i="26"/>
  <c r="O23" i="26" s="1"/>
  <c r="E27" i="54"/>
  <c r="O20" i="54"/>
  <c r="O27" i="54" s="1"/>
  <c r="G13" i="7" l="1"/>
  <c r="G34" i="7" s="1"/>
  <c r="G44" i="7" s="1"/>
  <c r="G6" i="8"/>
  <c r="I6" i="8" s="1"/>
  <c r="I13" i="8" l="1"/>
  <c r="G13" i="8"/>
  <c r="E52" i="7" s="1"/>
  <c r="E13" i="54"/>
  <c r="O6" i="54"/>
  <c r="O13" i="54" s="1"/>
  <c r="E13" i="7" l="1"/>
  <c r="G53" i="7" l="1"/>
  <c r="E53" i="7" l="1"/>
  <c r="D19" i="7"/>
  <c r="D12" i="7" l="1"/>
  <c r="D20" i="7" l="1"/>
  <c r="C26" i="36" l="1"/>
  <c r="C37" i="36" l="1"/>
  <c r="E17" i="7"/>
  <c r="E22" i="7" s="1"/>
  <c r="E34" i="7" s="1"/>
  <c r="E44" i="7" s="1"/>
  <c r="E14" i="37"/>
  <c r="D20" i="10" l="1"/>
  <c r="D50" i="10" s="1"/>
  <c r="D59" i="10" s="1"/>
  <c r="C28" i="75" l="1"/>
  <c r="C31" i="75" s="1"/>
</calcChain>
</file>

<file path=xl/sharedStrings.xml><?xml version="1.0" encoding="utf-8"?>
<sst xmlns="http://schemas.openxmlformats.org/spreadsheetml/2006/main" count="1819" uniqueCount="1252">
  <si>
    <t>Inputs</t>
  </si>
  <si>
    <t>MARSID</t>
  </si>
  <si>
    <t>FT name</t>
  </si>
  <si>
    <t>Please select your MARSID</t>
  </si>
  <si>
    <t>No trust selected</t>
  </si>
  <si>
    <t>5BOROUGHSPART</t>
  </si>
  <si>
    <t>AINTREE</t>
  </si>
  <si>
    <t>Aintree University Hospitals NHS Foundation Trust</t>
  </si>
  <si>
    <t>AIREDALE</t>
  </si>
  <si>
    <t>Airedale NHS Foundation Trust</t>
  </si>
  <si>
    <t>ALDERHEY</t>
  </si>
  <si>
    <t>Alder Hey Children's NHS Foundation Trust</t>
  </si>
  <si>
    <t>ASHFORD</t>
  </si>
  <si>
    <t>BARNSLEY</t>
  </si>
  <si>
    <t>Barnsley Hospital NHS Foundation Trust</t>
  </si>
  <si>
    <t>BASILDON</t>
  </si>
  <si>
    <t>BASINGSTOKE</t>
  </si>
  <si>
    <t>Hampshire Hospitals NHS Foundation Trust</t>
  </si>
  <si>
    <t>BCH</t>
  </si>
  <si>
    <t>BERKSHIREHEALTH</t>
  </si>
  <si>
    <t>Berkshire Healthcare NHS Foundation Trust</t>
  </si>
  <si>
    <t>BIRMSOLIHULL</t>
  </si>
  <si>
    <t>Birmingham and Solihull Mental Health NHS Foundation Trust</t>
  </si>
  <si>
    <t>BLACKPOOL</t>
  </si>
  <si>
    <t>Blackpool Teaching Hospitals NHS Foundation Trust</t>
  </si>
  <si>
    <t>BOLTON</t>
  </si>
  <si>
    <t>Bolton NHS Foundation Trust</t>
  </si>
  <si>
    <t>BOURNEMOUTH</t>
  </si>
  <si>
    <t>The Royal Bournemouth and Christchurch Hospitals NHS Foundation Trust</t>
  </si>
  <si>
    <t>BRADFORD</t>
  </si>
  <si>
    <t>Bradford Teaching Hospitals NHS Foundation Trust</t>
  </si>
  <si>
    <t>BRISTOL</t>
  </si>
  <si>
    <t>University Hospitals Bristol NHS Foundation Trust</t>
  </si>
  <si>
    <t>BURTON</t>
  </si>
  <si>
    <t>Burton Hospitals NHS Foundation Trust</t>
  </si>
  <si>
    <t>CALDERDALE</t>
  </si>
  <si>
    <t>CAMBPETER</t>
  </si>
  <si>
    <t>Cambridgeshire and Peterborough NHS Foundation Trust</t>
  </si>
  <si>
    <t>CAMBRIDGE</t>
  </si>
  <si>
    <t>Cambridge University Hospitals NHS Foundation Trust</t>
  </si>
  <si>
    <t>CAMDEN</t>
  </si>
  <si>
    <t>Camden and Islington NHS Foundation Trust</t>
  </si>
  <si>
    <t>CHELSEA</t>
  </si>
  <si>
    <t>CHESTER</t>
  </si>
  <si>
    <t>Countess of Chester Hospital NHS Foundation Trust</t>
  </si>
  <si>
    <t>CHESTERFIELD</t>
  </si>
  <si>
    <t>Chesterfield Royal Hospital NHS Foundation Trust</t>
  </si>
  <si>
    <t>CHRISTIE</t>
  </si>
  <si>
    <t>The Christie NHS Foundation Trust</t>
  </si>
  <si>
    <t>CLATTERBRIDGE</t>
  </si>
  <si>
    <t>The Clatterbridge Cancer Centre NHS Foundation Trust</t>
  </si>
  <si>
    <t>CNWL</t>
  </si>
  <si>
    <t>Central and North West London NHS Foundation Trust</t>
  </si>
  <si>
    <t>COLCHESTER</t>
  </si>
  <si>
    <t>RDE</t>
  </si>
  <si>
    <t>CORNWALLPART</t>
  </si>
  <si>
    <t>Cornwall Partnership NHS Foundation Trust</t>
  </si>
  <si>
    <t>CUMBRIAPART</t>
  </si>
  <si>
    <t>Cumbria Partnership NHS Foundation Trust</t>
  </si>
  <si>
    <t>CWPART</t>
  </si>
  <si>
    <t>Cheshire and Wirral Partnership NHS Foundation Trust</t>
  </si>
  <si>
    <t>DARLINGTON</t>
  </si>
  <si>
    <t>County Durham and Darlington NHS Foundation Trust</t>
  </si>
  <si>
    <t>DERBY</t>
  </si>
  <si>
    <t>DERBYSHIREHEALTH</t>
  </si>
  <si>
    <t>Derbyshire Healthcare NHS Foundation Trust</t>
  </si>
  <si>
    <t>DONCASTER</t>
  </si>
  <si>
    <t>DORSETCOUNTY</t>
  </si>
  <si>
    <t>Dorset County Hospital NHS Foundation Trust</t>
  </si>
  <si>
    <t>DORSETHEALTH</t>
  </si>
  <si>
    <t>Dorset Healthcare University NHS Foundation Trust</t>
  </si>
  <si>
    <t>DUDLEY</t>
  </si>
  <si>
    <t>The Dudley Group NHS Foundation Trust</t>
  </si>
  <si>
    <t>EASTKENT</t>
  </si>
  <si>
    <t>East Kent Hospitals University NHS Foundation Trust</t>
  </si>
  <si>
    <t>EASTLONDON</t>
  </si>
  <si>
    <t>East London NHS Foundation Trust</t>
  </si>
  <si>
    <t>FRIMLEY</t>
  </si>
  <si>
    <t>Frimley Health NHS Foundation Trust</t>
  </si>
  <si>
    <t>GATESHEAD</t>
  </si>
  <si>
    <t>Gateshead Health NHS Foundation Trust</t>
  </si>
  <si>
    <t>GLOSPART</t>
  </si>
  <si>
    <t>GLOUCESTER</t>
  </si>
  <si>
    <t>Gloucestershire Hospitals NHS Foundation Trust</t>
  </si>
  <si>
    <t>GMWEST</t>
  </si>
  <si>
    <t>GOSH</t>
  </si>
  <si>
    <t>Great Ormond Street Hospital for Children NHS Foundation Trust</t>
  </si>
  <si>
    <t>GUYS</t>
  </si>
  <si>
    <t>GWSWINDON</t>
  </si>
  <si>
    <t>Great Western Hospitals NHS Foundation Trust</t>
  </si>
  <si>
    <t>HANTSPART</t>
  </si>
  <si>
    <t>Southern Health NHS Foundation Trust</t>
  </si>
  <si>
    <t>HARROGATE</t>
  </si>
  <si>
    <t>Harrogate and District NHS Foundation Trust</t>
  </si>
  <si>
    <t>HERTSPART</t>
  </si>
  <si>
    <t>HILLINGDON</t>
  </si>
  <si>
    <t>HOMERTON</t>
  </si>
  <si>
    <t>Homerton University Hospital NHS Foundation Trust</t>
  </si>
  <si>
    <t>HUMBER</t>
  </si>
  <si>
    <t>JAMESPAGET</t>
  </si>
  <si>
    <t>James Paget University Hospitals NHS Foundation Trust</t>
  </si>
  <si>
    <t>KETTERING</t>
  </si>
  <si>
    <t>Kettering General Hospital NHS Foundation Trust</t>
  </si>
  <si>
    <t>KINGS</t>
  </si>
  <si>
    <t>KINGSLYNN</t>
  </si>
  <si>
    <t>KINGSTON</t>
  </si>
  <si>
    <t>Kingston Hospital NHS Foundation Trust</t>
  </si>
  <si>
    <t>LANCASHIRECARE</t>
  </si>
  <si>
    <t>Lancashire Care NHS Foundation Trust</t>
  </si>
  <si>
    <t>LANCSTEACH</t>
  </si>
  <si>
    <t>Lancashire Teaching Hospitals NHS Foundation Trust</t>
  </si>
  <si>
    <t>LEEDS</t>
  </si>
  <si>
    <t>Leeds and York Partnership NHS Foundation Trust</t>
  </si>
  <si>
    <t>LINCSPART</t>
  </si>
  <si>
    <t>Lincolnshire Partnership NHS Foundation Trust</t>
  </si>
  <si>
    <t>LIVERPOOLHEART</t>
  </si>
  <si>
    <t>LIVERPOOLWOMEN</t>
  </si>
  <si>
    <t>Liverpool Women's NHS Foundation Trust</t>
  </si>
  <si>
    <t>LUTON</t>
  </si>
  <si>
    <t>MEDWAY</t>
  </si>
  <si>
    <t>Medway NHS Foundation Trust</t>
  </si>
  <si>
    <t>MIDCHESHIRE</t>
  </si>
  <si>
    <t>Mid Cheshire Hospitals NHS Foundation Trust</t>
  </si>
  <si>
    <t>MILTONKEYNES</t>
  </si>
  <si>
    <t>MOORFIELDS</t>
  </si>
  <si>
    <t>Moorfields Eye Hospital NHS Foundation Trust</t>
  </si>
  <si>
    <t>MORECAMBEBAY</t>
  </si>
  <si>
    <t>NELONDON</t>
  </si>
  <si>
    <t>North East London NHS Foundation Trust</t>
  </si>
  <si>
    <t>NEWCASTLE</t>
  </si>
  <si>
    <t>The Newcastle Upon Tyne Hospitals NHS Foundation Trust</t>
  </si>
  <si>
    <t>NLAG</t>
  </si>
  <si>
    <t>NORTHANTSCARE</t>
  </si>
  <si>
    <t>Northamptonshire Healthcare NHS Foundation Trust</t>
  </si>
  <si>
    <t>NORTHEASTAMB</t>
  </si>
  <si>
    <t>NORTHTEES</t>
  </si>
  <si>
    <t>North Tees and Hartlepool NHS Foundation Trust</t>
  </si>
  <si>
    <t>NORTHUMBERLAND</t>
  </si>
  <si>
    <t>NORTHUMBRIA</t>
  </si>
  <si>
    <t>Northumbria Healthcare NHS Foundation Trust</t>
  </si>
  <si>
    <t>NORWAVE</t>
  </si>
  <si>
    <t>Norfolk and Suffolk NHS Foundation Trust</t>
  </si>
  <si>
    <t>NORWICH</t>
  </si>
  <si>
    <t>Norfolk and Norwich University Hospitals NHS Foundation Trust</t>
  </si>
  <si>
    <t>OXBUCKS</t>
  </si>
  <si>
    <t>Oxford Health NHS Foundation Trust</t>
  </si>
  <si>
    <t>OXLEAS</t>
  </si>
  <si>
    <t>Oxleas NHS Foundation Trust</t>
  </si>
  <si>
    <t>PAPWORTH</t>
  </si>
  <si>
    <t>PENNINECARE</t>
  </si>
  <si>
    <t>Pennine Care NHS Foundation Trust</t>
  </si>
  <si>
    <t>PETERBOROUGH</t>
  </si>
  <si>
    <t>POOLE</t>
  </si>
  <si>
    <t>Poole Hospital NHS Foundation Trust</t>
  </si>
  <si>
    <t>QVH</t>
  </si>
  <si>
    <t>Queen Victoria Hospital NHS Foundation Trust</t>
  </si>
  <si>
    <t>RDASH</t>
  </si>
  <si>
    <t>Royal Devon and Exeter NHS Foundation Trust</t>
  </si>
  <si>
    <t>RJAH</t>
  </si>
  <si>
    <t>ROH</t>
  </si>
  <si>
    <t>The Royal Orthopaedic Hospital NHS Foundation Trust</t>
  </si>
  <si>
    <t>ROTHERHAM</t>
  </si>
  <si>
    <t>The Rotherham NHS Foundation Trust</t>
  </si>
  <si>
    <t>ROYALBERKSHIRE</t>
  </si>
  <si>
    <t>Royal Berkshire NHS Foundation Trust</t>
  </si>
  <si>
    <t>ROYALFREE</t>
  </si>
  <si>
    <t>Royal Free London NHS Foundation Trust</t>
  </si>
  <si>
    <t>ROYALBROMPTON</t>
  </si>
  <si>
    <t>Royal Brompton and Harefield NHS Foundation Trust</t>
  </si>
  <si>
    <t>ROYALMARSDEN</t>
  </si>
  <si>
    <t>The Royal Marsden NHS Foundation Trust</t>
  </si>
  <si>
    <t>ROYALSURREY</t>
  </si>
  <si>
    <t>Royal Surrey County Hospital NHS Foundation Trust</t>
  </si>
  <si>
    <t>SALFORD</t>
  </si>
  <si>
    <t>Salford Royal NHS Foundation Trust</t>
  </si>
  <si>
    <t>SALISBURY</t>
  </si>
  <si>
    <t>Salisbury NHS Foundation Trust</t>
  </si>
  <si>
    <t>SANDWELLCARE</t>
  </si>
  <si>
    <t>SCENTRALAMB</t>
  </si>
  <si>
    <t>South Central Ambulance Service NHS Foundation Trust</t>
  </si>
  <si>
    <t>SECOASTAMB</t>
  </si>
  <si>
    <t>South East Coast Ambulance Service NHS Foundation Trust</t>
  </si>
  <si>
    <t>SHEFFIELDCHILD</t>
  </si>
  <si>
    <t>Sheffield Children's NHS Foundation Trust</t>
  </si>
  <si>
    <t>SHEFFIELDHEALTH</t>
  </si>
  <si>
    <t>Sheffield Health and Social Care NHS Foundation Trust</t>
  </si>
  <si>
    <t>SHEFFIELDTEACH</t>
  </si>
  <si>
    <t>Sheffield Teaching Hospitals NHS Foundation Trust</t>
  </si>
  <si>
    <t>SHERWOOD</t>
  </si>
  <si>
    <t>Sherwood Forest Hospitals NHS Foundation Trust</t>
  </si>
  <si>
    <t>SLAM</t>
  </si>
  <si>
    <t>South London and Maudsley NHS Foundation Trust</t>
  </si>
  <si>
    <t>SOMERSETPART</t>
  </si>
  <si>
    <t>Somerset Partnership NHS Foundation Trust</t>
  </si>
  <si>
    <t>SOUTHDEVON</t>
  </si>
  <si>
    <t>SOUTHEND</t>
  </si>
  <si>
    <t>Southend University Hospital NHS Foundation Trust</t>
  </si>
  <si>
    <t>SOUTHAMPTON</t>
  </si>
  <si>
    <t>SOUTHSTAFFS</t>
  </si>
  <si>
    <t>SOUTHTEES</t>
  </si>
  <si>
    <t>South Tees Hospitals NHS Foundation Trust</t>
  </si>
  <si>
    <t>SOUTHTYNESIDE</t>
  </si>
  <si>
    <t>South Tyneside NHS Foundation Trust</t>
  </si>
  <si>
    <t>STOCKPORT</t>
  </si>
  <si>
    <t>Stockport NHS Foundation Trust</t>
  </si>
  <si>
    <t>SUNDERLAND</t>
  </si>
  <si>
    <t>City Hospitals Sunderland NHS Foundation Trust</t>
  </si>
  <si>
    <t>SURREYPART</t>
  </si>
  <si>
    <t>Surrey and Borders Partnership NHS Foundation Trust</t>
  </si>
  <si>
    <t>SUSSEXPART</t>
  </si>
  <si>
    <t>Sussex Partnership NHS Foundation Trust</t>
  </si>
  <si>
    <t>SWARKS</t>
  </si>
  <si>
    <t>South Warwickshire NHS Foundation Trust</t>
  </si>
  <si>
    <t>SWESTAMB</t>
  </si>
  <si>
    <t>South Western Ambulance Service NHS Foundation Trust</t>
  </si>
  <si>
    <t>SWYORKSPART</t>
  </si>
  <si>
    <t>South West Yorkshire Partnership NHS Foundation Trust</t>
  </si>
  <si>
    <t>TAMESIDE</t>
  </si>
  <si>
    <t>TAUNTON</t>
  </si>
  <si>
    <t>TAVIPORT</t>
  </si>
  <si>
    <t>Tavistock and Portman NHS Foundation Trust</t>
  </si>
  <si>
    <t>TEWVALLEYS</t>
  </si>
  <si>
    <t>Tees, Esk and Wear Valleys NHS Foundation Trust</t>
  </si>
  <si>
    <t>UCLH</t>
  </si>
  <si>
    <t>University College London Hospitals NHS Foundation Trust</t>
  </si>
  <si>
    <t>UHB</t>
  </si>
  <si>
    <t>University Hospitals Birmingham NHS Foundation Trust</t>
  </si>
  <si>
    <t>WALTON</t>
  </si>
  <si>
    <t>The Walton Centre NHS Foundation Trust</t>
  </si>
  <si>
    <t>WARRINGTON</t>
  </si>
  <si>
    <t>Warrington and Halton Hospitals NHS Foundation Trust</t>
  </si>
  <si>
    <t>WESTMIDLANDSAMB</t>
  </si>
  <si>
    <t>WESTSUFFOLK</t>
  </si>
  <si>
    <t>WESTERNSUSSEX</t>
  </si>
  <si>
    <t>WIGAN</t>
  </si>
  <si>
    <t>Wrightington, Wigan and Leigh NHS Foundation Trust</t>
  </si>
  <si>
    <t>WIRRAL</t>
  </si>
  <si>
    <t>Wirral University Teaching Hospital NHS Foundation Trust</t>
  </si>
  <si>
    <t>YEOVIL</t>
  </si>
  <si>
    <t>Yeovil District Hospital NHS Foundation Trust</t>
  </si>
  <si>
    <t>YORKHOSPITAL</t>
  </si>
  <si>
    <t>York Teaching Hospital NHS Foundation Trust</t>
  </si>
  <si>
    <t>Impairments</t>
  </si>
  <si>
    <t>Note</t>
  </si>
  <si>
    <t>Finance income</t>
  </si>
  <si>
    <t>Net finance costs</t>
  </si>
  <si>
    <t>Corporation tax expense</t>
  </si>
  <si>
    <t>Operating income from patient care activities</t>
  </si>
  <si>
    <t xml:space="preserve">Other operating income </t>
  </si>
  <si>
    <t>Other comprehensive income</t>
  </si>
  <si>
    <t>£000</t>
  </si>
  <si>
    <t>Non-current assets</t>
  </si>
  <si>
    <t>Intangible assets</t>
  </si>
  <si>
    <t>Property, plant and equipment</t>
  </si>
  <si>
    <t>Other assets</t>
  </si>
  <si>
    <t>Total non-current assets</t>
  </si>
  <si>
    <t>Current assets</t>
  </si>
  <si>
    <t>Inventories</t>
  </si>
  <si>
    <t>Cash and cash equivalents</t>
  </si>
  <si>
    <t>Total current assets</t>
  </si>
  <si>
    <t>Current liabilities</t>
  </si>
  <si>
    <t>Trade and other payables</t>
  </si>
  <si>
    <t>Borrowings</t>
  </si>
  <si>
    <t>Other financial liabilities</t>
  </si>
  <si>
    <t>Provisions</t>
  </si>
  <si>
    <t>Other liabilities</t>
  </si>
  <si>
    <t>Liabilities in disposal groups</t>
  </si>
  <si>
    <t>Total current liabilities</t>
  </si>
  <si>
    <t>Total assets less current liabilities</t>
  </si>
  <si>
    <t>Non-current liabilities</t>
  </si>
  <si>
    <t>Total non-current liabilities</t>
  </si>
  <si>
    <t>Total assets employed</t>
  </si>
  <si>
    <t>Revaluation reserve</t>
  </si>
  <si>
    <t>Other reserves</t>
  </si>
  <si>
    <t>Merger reserve</t>
  </si>
  <si>
    <t>Income and expenditure reserve</t>
  </si>
  <si>
    <t xml:space="preserve">Operating expenses </t>
  </si>
  <si>
    <t>PDC dividends payable</t>
  </si>
  <si>
    <t>Investment property</t>
  </si>
  <si>
    <t>Public dividend capital</t>
  </si>
  <si>
    <t>Finance expenses</t>
  </si>
  <si>
    <t xml:space="preserve">Financed by </t>
  </si>
  <si>
    <t>Total</t>
  </si>
  <si>
    <t xml:space="preserve">£000 </t>
  </si>
  <si>
    <t xml:space="preserve">At start of period for new FTs </t>
  </si>
  <si>
    <t>Public dividend capital received</t>
  </si>
  <si>
    <t>Public dividend capital repaid</t>
  </si>
  <si>
    <t>Revaluations</t>
  </si>
  <si>
    <t>Cash flows from operating activities</t>
  </si>
  <si>
    <t>Non-cash income and expense:</t>
  </si>
  <si>
    <t>Depreciation and amortisation</t>
  </si>
  <si>
    <t>Cash flows from investing activities</t>
  </si>
  <si>
    <t>Interest received</t>
  </si>
  <si>
    <t>Purchase of intangible assets</t>
  </si>
  <si>
    <t>Sales of intangible assets</t>
  </si>
  <si>
    <t xml:space="preserve">Capital element of finance lease rental payments </t>
  </si>
  <si>
    <t>Other capital receipts</t>
  </si>
  <si>
    <t>Capital element of PFI, LIFT and other service concession payments</t>
  </si>
  <si>
    <t>Cash flows from (used in) other financing activities</t>
  </si>
  <si>
    <t>Ashford and St Peter's Hospitals NHS Foundation Trust</t>
  </si>
  <si>
    <t>The Hillingdon Hospitals NHS Foundation Trust</t>
  </si>
  <si>
    <t>University Hospitals of Morecambe Bay NHS Foundation Trust</t>
  </si>
  <si>
    <t>North East Ambulance Service NHS Foundation Trust</t>
  </si>
  <si>
    <t>The Robert Jones and Agnes Hunt Orthopaedic Hospital NHS Foundation Trust</t>
  </si>
  <si>
    <t>University Hospital Southampton NHS Foundation Trust</t>
  </si>
  <si>
    <t>West Suffolk NHS Foundation Trust</t>
  </si>
  <si>
    <t>Western Sussex Hospitals NHS Foundation Trust</t>
  </si>
  <si>
    <t xml:space="preserve">Elective income </t>
  </si>
  <si>
    <t xml:space="preserve">Non elective income </t>
  </si>
  <si>
    <t xml:space="preserve">A &amp; E income </t>
  </si>
  <si>
    <t xml:space="preserve">Private patient income </t>
  </si>
  <si>
    <t>Total income from activities</t>
  </si>
  <si>
    <t>Total other operating income</t>
  </si>
  <si>
    <t>Other NHS clinical income</t>
  </si>
  <si>
    <t>Other</t>
  </si>
  <si>
    <t>Other clinical income</t>
  </si>
  <si>
    <t>- not later than one year;</t>
  </si>
  <si>
    <t>- later than one year and not later than five years;</t>
  </si>
  <si>
    <t>- later than five years.</t>
  </si>
  <si>
    <t xml:space="preserve">Local authorities </t>
  </si>
  <si>
    <t>Income recognised this year</t>
  </si>
  <si>
    <t>Amounts written off in-year</t>
  </si>
  <si>
    <t xml:space="preserve">Amounts added to provision for impairment of receivables </t>
  </si>
  <si>
    <t xml:space="preserve">Cash payments received in-year </t>
  </si>
  <si>
    <t xml:space="preserve">Supplies and services - general </t>
  </si>
  <si>
    <t xml:space="preserve">Establishment </t>
  </si>
  <si>
    <t>Depreciation on property, plant and equipment</t>
  </si>
  <si>
    <t>Amortisation on intangible assets</t>
  </si>
  <si>
    <t>Audit fees payable to the external auditor</t>
  </si>
  <si>
    <t>audit services- statutory audit</t>
  </si>
  <si>
    <t>Legal fees</t>
  </si>
  <si>
    <t>Consultancy costs</t>
  </si>
  <si>
    <t xml:space="preserve">Hospitality </t>
  </si>
  <si>
    <t>Insurance</t>
  </si>
  <si>
    <t>Other services, eg external payroll</t>
  </si>
  <si>
    <t>other auditor remuneration (external auditor only)</t>
  </si>
  <si>
    <t>2. Audit-related assurance services</t>
  </si>
  <si>
    <t>3. Taxation compliance services</t>
  </si>
  <si>
    <t>6. All assurance services not falling within items 1 to 5</t>
  </si>
  <si>
    <t>7. Corporate finance transaction services not falling within items 1 to 6 above</t>
  </si>
  <si>
    <t>Salaries and wages</t>
  </si>
  <si>
    <t xml:space="preserve">Social security costs </t>
  </si>
  <si>
    <t>Pension cost - other</t>
  </si>
  <si>
    <t>Other post employment benefits</t>
  </si>
  <si>
    <t>Other employment benefits</t>
  </si>
  <si>
    <t>Termination benefits</t>
  </si>
  <si>
    <t>Costs capitalised as part of assets</t>
  </si>
  <si>
    <t>Redundancy</t>
  </si>
  <si>
    <t>Total gross staff costs</t>
  </si>
  <si>
    <t>Number</t>
  </si>
  <si>
    <t>Minimum lease payments</t>
  </si>
  <si>
    <t>Contingent rents</t>
  </si>
  <si>
    <t>Less sublease payments received</t>
  </si>
  <si>
    <t xml:space="preserve">Future minimum lease payments due: </t>
  </si>
  <si>
    <t>Interest expense:</t>
  </si>
  <si>
    <t xml:space="preserve">Overdrafts </t>
  </si>
  <si>
    <t xml:space="preserve">Finance leases </t>
  </si>
  <si>
    <t>Interest on late payment of commercial debt</t>
  </si>
  <si>
    <t>Total interest expense</t>
  </si>
  <si>
    <t>Other finance costs</t>
  </si>
  <si>
    <t xml:space="preserve">Total </t>
  </si>
  <si>
    <t>Land</t>
  </si>
  <si>
    <t>Buildings excluding dwellings</t>
  </si>
  <si>
    <t>Dwellings</t>
  </si>
  <si>
    <t>Plant &amp; machinery</t>
  </si>
  <si>
    <t>Transport equipment</t>
  </si>
  <si>
    <t>Furniture &amp; fittings</t>
  </si>
  <si>
    <t xml:space="preserve">Reclassifications </t>
  </si>
  <si>
    <t>Disposals / derecognition</t>
  </si>
  <si>
    <t xml:space="preserve">Provided during the year </t>
  </si>
  <si>
    <t>Prior period adjustments</t>
  </si>
  <si>
    <t>Transfers by absorption</t>
  </si>
  <si>
    <t>Information technology</t>
  </si>
  <si>
    <t xml:space="preserve">Transfers by absorption </t>
  </si>
  <si>
    <t>At start of period for new FTs</t>
  </si>
  <si>
    <t>Drugs</t>
  </si>
  <si>
    <t>Consumables</t>
  </si>
  <si>
    <t>Total inventories</t>
  </si>
  <si>
    <t>Current</t>
  </si>
  <si>
    <t>PDC dividend receivable</t>
  </si>
  <si>
    <t>VAT receivable</t>
  </si>
  <si>
    <t>Total current trade and other receivables</t>
  </si>
  <si>
    <t>Total non-current trade and other receivables</t>
  </si>
  <si>
    <t>Non-current</t>
  </si>
  <si>
    <t>Amounts utilised</t>
  </si>
  <si>
    <t>Unused amounts reversed</t>
  </si>
  <si>
    <t>At 31 March</t>
  </si>
  <si>
    <t>Increase in provision</t>
  </si>
  <si>
    <t>Other receivables</t>
  </si>
  <si>
    <t>At 1 April</t>
  </si>
  <si>
    <t>At 1 April (restated)</t>
  </si>
  <si>
    <t>Net change in year</t>
  </si>
  <si>
    <t xml:space="preserve">Cash at commercial banks and in hand </t>
  </si>
  <si>
    <t>Cash with the Government Banking Service</t>
  </si>
  <si>
    <t>Deposits with the National Loan Fund</t>
  </si>
  <si>
    <t>Other current investments</t>
  </si>
  <si>
    <t>Total cash and cash equivalents as in SoFP</t>
  </si>
  <si>
    <t>Drawdown in committed facility</t>
  </si>
  <si>
    <t>Total cash and cash equivalents as in SoCF</t>
  </si>
  <si>
    <t>Broken down into:</t>
  </si>
  <si>
    <t>Bank overdrafts (GBS and commercial banks)</t>
  </si>
  <si>
    <t xml:space="preserve">Current </t>
  </si>
  <si>
    <t>Other payables</t>
  </si>
  <si>
    <t>PDC dividend payable</t>
  </si>
  <si>
    <t xml:space="preserve">Number </t>
  </si>
  <si>
    <t>Total non-current trade and other payables</t>
  </si>
  <si>
    <t>Total current trade and other payables</t>
  </si>
  <si>
    <t>Social security costs</t>
  </si>
  <si>
    <t>Obligations under finance leases</t>
  </si>
  <si>
    <t>PFI lifecycle replacement received in advance</t>
  </si>
  <si>
    <t>Obligations under PFI, LIFT or other service concession contracts (excl. lifecycle)</t>
  </si>
  <si>
    <t>Obligations under PFI, LIFT or other service concession contracts</t>
  </si>
  <si>
    <t>Total non-current borrowings</t>
  </si>
  <si>
    <t>Total current borrowings</t>
  </si>
  <si>
    <t>Other loans</t>
  </si>
  <si>
    <t xml:space="preserve">Arising during the year </t>
  </si>
  <si>
    <t xml:space="preserve">Reversed unused </t>
  </si>
  <si>
    <t xml:space="preserve">Unwinding of discount </t>
  </si>
  <si>
    <t xml:space="preserve">Expected timing of cash flows: </t>
  </si>
  <si>
    <t xml:space="preserve">Value of contingent liabilities </t>
  </si>
  <si>
    <t>Gross value of contingent liabilities</t>
  </si>
  <si>
    <t>of which liabilities are due:</t>
  </si>
  <si>
    <t xml:space="preserve">Finance charges allocated to future periods </t>
  </si>
  <si>
    <t>Gross PFI, LIFT or other service concession liabilities</t>
  </si>
  <si>
    <t>Net PFI, LIFT or other service concession arrangement obligation</t>
  </si>
  <si>
    <t>Of which liabilities are due</t>
  </si>
  <si>
    <t>In one year or less</t>
  </si>
  <si>
    <t>In more than one year but not more than two years</t>
  </si>
  <si>
    <t>In more than two years but not more than five years</t>
  </si>
  <si>
    <t>In more than five years</t>
  </si>
  <si>
    <t>Trade and other receivables excluding non financial assets</t>
  </si>
  <si>
    <t>Cash and cash equivalents at bank and in hand</t>
  </si>
  <si>
    <t xml:space="preserve">Trade and other payables excluding non financial liabilities </t>
  </si>
  <si>
    <t>Provisions under contract</t>
  </si>
  <si>
    <t>Total number of cases</t>
  </si>
  <si>
    <t>Total value of cases</t>
  </si>
  <si>
    <t>Total losses and special payments</t>
  </si>
  <si>
    <t>Research and development</t>
  </si>
  <si>
    <t xml:space="preserve">Premises </t>
  </si>
  <si>
    <t>Car parking &amp; security</t>
  </si>
  <si>
    <t>Losses, ex gratia &amp; special payments</t>
  </si>
  <si>
    <t>RUHBATH</t>
  </si>
  <si>
    <t>Royal United Hospitals Bath NHS Foundation Trust</t>
  </si>
  <si>
    <t>Derbyshire Community Health Services NHS Foundation Trust</t>
  </si>
  <si>
    <t>BRIDGEWATER</t>
  </si>
  <si>
    <t>Bridgewater Community Healthcare NHS Foundation Trust</t>
  </si>
  <si>
    <t>Cash and cash equivalents at start of period for new FTs</t>
  </si>
  <si>
    <t xml:space="preserve">Cash and cash equivalents at 31 March </t>
  </si>
  <si>
    <t>Statement of Cash Flows</t>
  </si>
  <si>
    <t xml:space="preserve">Non-NHS: private patients </t>
  </si>
  <si>
    <t xml:space="preserve">Non-NHS: overseas patients (chargeable to patient) </t>
  </si>
  <si>
    <t>Non NHS: other</t>
  </si>
  <si>
    <t>Interest paid on finance lease liabilities</t>
  </si>
  <si>
    <t>Cash and cash equivalents transferred under absorption accounting</t>
  </si>
  <si>
    <t>Receipt of capital grants and donations</t>
  </si>
  <si>
    <t>Charitable and other contributions to expenditure</t>
  </si>
  <si>
    <t>Income from patient care activities received from:</t>
  </si>
  <si>
    <t>Rentals under operating leases</t>
  </si>
  <si>
    <t>Clinical negligence</t>
  </si>
  <si>
    <t>Other auditor remuneration paid to the external auditor:</t>
  </si>
  <si>
    <t>1. Audit of accounts of any associate of the trust</t>
  </si>
  <si>
    <t>4. All taxation advisory services not falling within item 3 above</t>
  </si>
  <si>
    <t>5. Internal audit services</t>
  </si>
  <si>
    <t>8. Other non-audit services not falling within items 2 to 7 above</t>
  </si>
  <si>
    <t xml:space="preserve">Employer's contributions to NHS pensions </t>
  </si>
  <si>
    <t>Additions</t>
  </si>
  <si>
    <t>Finance leased</t>
  </si>
  <si>
    <t>On-SoFP PFI contracts and other service concession arrangements</t>
  </si>
  <si>
    <t xml:space="preserve">Bank overdrafts </t>
  </si>
  <si>
    <t>Utilised during the year</t>
  </si>
  <si>
    <t>Reclassified to liabilities held in disposal groups</t>
  </si>
  <si>
    <t>Gross lease liabilities</t>
  </si>
  <si>
    <t>Net lease liabilities</t>
  </si>
  <si>
    <t>Reversals of impairments</t>
  </si>
  <si>
    <t>Notes to the Accounts</t>
  </si>
  <si>
    <t>Assets under construction</t>
  </si>
  <si>
    <t>Development expenditure</t>
  </si>
  <si>
    <t>Cash and cash equivalents comprise cash at bank, in hand and cash equivalents. Cash equivalents are readily convertible investments of known value which are subject to an insignificant risk of change in value.</t>
  </si>
  <si>
    <t>The cost of these ill-health retirements will be borne by the NHS Business Services Authority - Pensions Division.</t>
  </si>
  <si>
    <t>Operating lease expense</t>
  </si>
  <si>
    <t>Software  licences</t>
  </si>
  <si>
    <t>of which payable:</t>
  </si>
  <si>
    <t>Losses</t>
  </si>
  <si>
    <t>Special payments</t>
  </si>
  <si>
    <t>Movement on other loans</t>
  </si>
  <si>
    <t>Interest paid on PFI, LIFT and other service concession obligations</t>
  </si>
  <si>
    <t>Purchase of property, plant, equipment and investment property</t>
  </si>
  <si>
    <t>Sales of property, plant, equipment and investment property</t>
  </si>
  <si>
    <t>For new FTs, enter calendar year of your authorisation</t>
  </si>
  <si>
    <t>For new FTs, enter date of authorisation (i.e. opening balance sheet date)</t>
  </si>
  <si>
    <t>Background to this accounts template</t>
  </si>
  <si>
    <t>Except for the presence of separate Group and Trust columns/tables in the first version, the two versions are the same.</t>
  </si>
  <si>
    <t>Step 3: Tailor the document to become your accounts</t>
  </si>
  <si>
    <t>◦ adding in extra notes</t>
  </si>
  <si>
    <t>Step 4: Presentation</t>
  </si>
  <si>
    <t>Feedback and comments</t>
  </si>
  <si>
    <t>Tailoring the document may involve some or all of the following:</t>
  </si>
  <si>
    <t>◦ hiding /deleting whole notes or sheets in some cases - then need to check that the primary statements are unaffected and update note numbering.  Please read Step 4 below in relation to note numbering.</t>
  </si>
  <si>
    <t>Note numbers for each note use hidden text in column A to compute the note number adding on from the last note. Where you have added or deleted a note, this formula will need updating in the subsequent note, but then all subsequent notes will renumber. Note references on the primary statements are linked to the hidden numbers in column A so should update automatically when notes are updated. Note references within the example accounting policies are highlighted as red text and these should be updated locally.</t>
  </si>
  <si>
    <t>Select the 'Data' tab on the ribbon at the top of excel (if this tab is not visible it may need to be added by customising the ribbon in excel options)</t>
  </si>
  <si>
    <t>1.</t>
  </si>
  <si>
    <t>Within the 'Connections' section, select 'Edit Links'.</t>
  </si>
  <si>
    <t>3.</t>
  </si>
  <si>
    <t>4.</t>
  </si>
  <si>
    <t>2.</t>
  </si>
  <si>
    <t>5.</t>
  </si>
  <si>
    <t>In the dialogue box that appears, highlight the existing source file (the dummy file) and select 'Change Source'.</t>
  </si>
  <si>
    <t>Year for financial reporting (20XX/YY)</t>
  </si>
  <si>
    <t>Year for comparative year (20XX/YY)</t>
  </si>
  <si>
    <t>Date of year end (dd/mm/yyyy)</t>
  </si>
  <si>
    <t>Start of current year (dd/mm/yyyy)</t>
  </si>
  <si>
    <t>Comparative year end  (dd/mm/yyyy)</t>
  </si>
  <si>
    <t>Start of comparative year (dd/mm/yyyy)</t>
  </si>
  <si>
    <t>Year for year end (20XX)</t>
  </si>
  <si>
    <t>Year for comparative year (20XX)</t>
  </si>
  <si>
    <t>Opening Year (20XX)</t>
  </si>
  <si>
    <t>Next financial year (20XX/YY)</t>
  </si>
  <si>
    <t>All links within this workbook should now be redirected to your local file.  Due to the number of links this may take some time.  Please be patient and do not attempt to perform other tasks in excel at the same time.</t>
  </si>
  <si>
    <t>How to use this accounts template</t>
  </si>
  <si>
    <t>◦ hiding /deleting unnecessary columns or rows - for example unused categories of intangible asset. Care then needs to be taken to ensure that total formulae still work and column widths for row descriptions may need to be changed to ensure tables are right aligned on the page when printed.</t>
  </si>
  <si>
    <t>This accounts template is designed to be easy to work with in Microsoft Excel, but is also formatted in such a way that when printed, the end result is a presentable set of accounts. Different local printers will change how page margins work and some editing of column widths in particular may be required to achieve the right formatting for printing for each user.</t>
  </si>
  <si>
    <t>As a starting point you should update the information on the Settings sheet. Then, you need to change the source file for the links as follows:</t>
  </si>
  <si>
    <t>Select the 'Data' tab on the ribbon at the top of Excel (if this tab is not visible it may need to be added by customising the ribbon in excel options)</t>
  </si>
  <si>
    <t>Cash losses</t>
  </si>
  <si>
    <t>Total special payments</t>
  </si>
  <si>
    <t>Total losses</t>
  </si>
  <si>
    <t>Ex-gratia payments</t>
  </si>
  <si>
    <t>This will populate the 'ApprovalDate' in the foreword, on the SoFP and for events after the reporting period.</t>
  </si>
  <si>
    <t>Date of approval of financial statements (dd/mm/yyyy)</t>
  </si>
  <si>
    <t>KENTCOMM</t>
  </si>
  <si>
    <t>Kent Community Health NHS Foundation Trust</t>
  </si>
  <si>
    <t>NOTTSHEALTH</t>
  </si>
  <si>
    <t>Nottinghamshire Healthcare NHS Foundation Trust</t>
  </si>
  <si>
    <t>Financing cash flows of discontinued operations</t>
  </si>
  <si>
    <t>Stores losses and damage to property</t>
  </si>
  <si>
    <t>In Print Preview mode, you can see how the accounts template will look when printed. Each worksheet (tab) of the file should be checked individually for print preview. If necessary, adjust the column widths on a tab to improve how the document fits on a page. Add/amend page breaks within a tab if necessary (most easily done from page break view).</t>
  </si>
  <si>
    <t>Statement of Comprehensive Income</t>
  </si>
  <si>
    <t>Statement of Financial Position</t>
  </si>
  <si>
    <t>Total taxpayers' equity</t>
  </si>
  <si>
    <t xml:space="preserve">Depreciation at start of period as FT </t>
  </si>
  <si>
    <t>Trust and Group template versions</t>
  </si>
  <si>
    <t>Cash flows from financing activities</t>
  </si>
  <si>
    <t>Internal audit costs</t>
  </si>
  <si>
    <t>Remuneration of non-executive directors</t>
  </si>
  <si>
    <t>Of which liabilities are due:</t>
  </si>
  <si>
    <t>Unitary payment payable to service concession operator</t>
  </si>
  <si>
    <t>Consisting of:</t>
  </si>
  <si>
    <t>- Interest charge</t>
  </si>
  <si>
    <t>- Repayment of finance lease liability</t>
  </si>
  <si>
    <t>- Capital lifecycle maintenance</t>
  </si>
  <si>
    <t>- Contingent rent</t>
  </si>
  <si>
    <t>Total amount paid to service concession operator</t>
  </si>
  <si>
    <t>Income recognised in respect of capital donations</t>
  </si>
  <si>
    <t>2016/17</t>
  </si>
  <si>
    <t>The trust may wish to add the page number as a footer. Follow the instructions above for adding a footer. As the accounts follow the annual report, you may not wish to start the accounts page number at 1. In order to change this firstly click on the first tab you want to have a page number, select the Page Layout tab from the ribbon &gt; in the page setup section select the small arrow in the bottom right hand corner &gt; a pop up box will appear, on the Page tab change the last option 'First page number' to whatever page number you want &gt; click 'ok'. All subsequent tabs will follow this page numbering system.</t>
  </si>
  <si>
    <t>OXFORD</t>
  </si>
  <si>
    <t>Oxford University Hospitals NHS Foundation Trust</t>
  </si>
  <si>
    <t>Bradford District Care NHS Foundation Trust</t>
  </si>
  <si>
    <t>BRADFORDCARE</t>
  </si>
  <si>
    <t>STGEORGES</t>
  </si>
  <si>
    <t>2017</t>
  </si>
  <si>
    <t>2017/18</t>
  </si>
  <si>
    <t>Equal Pay (including Agenda for Change)</t>
  </si>
  <si>
    <t>Temporary staff (including agency)</t>
  </si>
  <si>
    <t>- Service element and other charges to operating expenditure</t>
  </si>
  <si>
    <t>Basildon &amp; Thurrock University Hospitals NHS Foundation Trust</t>
  </si>
  <si>
    <t>BIRMCOMM</t>
  </si>
  <si>
    <t>Birmingham Community Healthcare NHS Foundation Trust</t>
  </si>
  <si>
    <t>Calderdale &amp; Huddersfield NHS Foundation Trust</t>
  </si>
  <si>
    <t>DERBYSHIRECOMMUNITY</t>
  </si>
  <si>
    <t>2gether NHS Foundation Trust</t>
  </si>
  <si>
    <t>Hertfordshire Partnership University NHS Foundation Trust</t>
  </si>
  <si>
    <t>King’s College Hospital NHS Foundation Trust</t>
  </si>
  <si>
    <t>Liverpool Heart and Chest Hospital NHS Foundation Trust</t>
  </si>
  <si>
    <t>Luton and Dunstable University Hospital NHS Foundation Trust</t>
  </si>
  <si>
    <t>MERSEYCARE</t>
  </si>
  <si>
    <t>Mersey Care NHS Foundation Trust</t>
  </si>
  <si>
    <t>Milton Keynes University Hospital NHS Foundation Trust</t>
  </si>
  <si>
    <t>Rotherham Doncaster and South Humber NHS Foundation Trust</t>
  </si>
  <si>
    <t>Torbay and South Devon NHS Foundation Trust</t>
  </si>
  <si>
    <t>SUSSEXCOMM</t>
  </si>
  <si>
    <t>Sussex Community NHS Foundation Trust</t>
  </si>
  <si>
    <t>Tameside and Glossop Integrated Care NHS Foundation Trust</t>
  </si>
  <si>
    <t>Taunton &amp; Somerset NHS Foundation Trust</t>
  </si>
  <si>
    <t>WIRRALCOMM</t>
  </si>
  <si>
    <t>Wirral Community NHS Foundation Trust</t>
  </si>
  <si>
    <t>Greater Manchester Mental Health NHS Foundation Trust</t>
  </si>
  <si>
    <t>2018</t>
  </si>
  <si>
    <t>2018/19</t>
  </si>
  <si>
    <t>Links should be broken before submitting this file (as draft or audited) to NHS Improvement via your portal.</t>
  </si>
  <si>
    <t>Other investments / financial assets</t>
  </si>
  <si>
    <t xml:space="preserve">Other assets </t>
  </si>
  <si>
    <t>Purchase and sale of financial assets / investments</t>
  </si>
  <si>
    <t>Cash transferred to NHS foundation trust upon authorisation as FT</t>
  </si>
  <si>
    <t xml:space="preserve">First outpatient income </t>
  </si>
  <si>
    <t xml:space="preserve">Follow up outpatient income </t>
  </si>
  <si>
    <t>High cost drugs income from commissioners (excluding pass-through costs)</t>
  </si>
  <si>
    <t>Staff and executive directors costs</t>
  </si>
  <si>
    <t>Supplies and services - clinical (excluding drugs costs)</t>
  </si>
  <si>
    <t>Drug costs (drugs inventory consumed and purchase of non-inventory drugs)</t>
  </si>
  <si>
    <t>Education and training</t>
  </si>
  <si>
    <t>Transport (including patient travel)</t>
  </si>
  <si>
    <t>Apprenticeship levy</t>
  </si>
  <si>
    <t>Unwinding of discount on provisions</t>
  </si>
  <si>
    <t>Transfer to FT upon authorisation</t>
  </si>
  <si>
    <t>Trade payables</t>
  </si>
  <si>
    <t>Receipts in advance (including payments on account)</t>
  </si>
  <si>
    <t>VAT payables</t>
  </si>
  <si>
    <t>Other taxes payable</t>
  </si>
  <si>
    <t>Legal claims</t>
  </si>
  <si>
    <t>NHS Resolution legal claims</t>
  </si>
  <si>
    <t>Total book value</t>
  </si>
  <si>
    <t>IFRIC 12 breakeven adjustment</t>
  </si>
  <si>
    <t>Income</t>
  </si>
  <si>
    <t>Full cost</t>
  </si>
  <si>
    <t>Less: Disposals</t>
  </si>
  <si>
    <t>Less: Donated and granted capital additions</t>
  </si>
  <si>
    <t>Charge against Capital Resource Limit</t>
  </si>
  <si>
    <t>Capital Resource Limit</t>
  </si>
  <si>
    <t>Non-NHS Payables</t>
  </si>
  <si>
    <t>NHS Payables</t>
  </si>
  <si>
    <t>Total non-NHS trade invoices paid in the year</t>
  </si>
  <si>
    <t>Total non-NHS trade invoices paid within target</t>
  </si>
  <si>
    <t>Percentage of non-NHS trade invoices paid within target</t>
  </si>
  <si>
    <t>Total NHS trade invoices paid in the year</t>
  </si>
  <si>
    <t>Total NHS trade invoices paid within target</t>
  </si>
  <si>
    <t>Percentage of NHS trade invoices paid within target</t>
  </si>
  <si>
    <t>2009/10</t>
  </si>
  <si>
    <t>2010/11</t>
  </si>
  <si>
    <t>2011/12</t>
  </si>
  <si>
    <t>2012/13</t>
  </si>
  <si>
    <t>2013/14</t>
  </si>
  <si>
    <t>2014/15</t>
  </si>
  <si>
    <t>2015/16</t>
  </si>
  <si>
    <t>Breakeven duty in-year financial performance</t>
  </si>
  <si>
    <t>Breakeven duty cumulative position</t>
  </si>
  <si>
    <t>Operating income</t>
  </si>
  <si>
    <t>Cumulative breakeven position as a percentage of operating income</t>
  </si>
  <si>
    <t>Transfers to / from assets held for sale</t>
  </si>
  <si>
    <t xml:space="preserve">Share of profit / (losses) of associates / joint arrangements </t>
  </si>
  <si>
    <t>Gains / (losses) arising from transfers by absorption</t>
  </si>
  <si>
    <t>Surplus / (deficit) for the year from continuing operations</t>
  </si>
  <si>
    <t>Surplus / (deficit) on discontinued operations and the gain / (loss) on disposal of discontinued operations</t>
  </si>
  <si>
    <t>Surplus / (deficit) for the year</t>
  </si>
  <si>
    <t>Total comprehensive income / (expense) for the period</t>
  </si>
  <si>
    <t>Total gains / (losses) on disposal of assets</t>
  </si>
  <si>
    <t>Gains on disposal of assets</t>
  </si>
  <si>
    <t>Losses on disposal of assets</t>
  </si>
  <si>
    <t>Total other gains / (losses)</t>
  </si>
  <si>
    <t>(Increase) / decrease in inventories</t>
  </si>
  <si>
    <t>Increase / (decrease) in provisions</t>
  </si>
  <si>
    <t>Net cash generated from / (used in) investing activities</t>
  </si>
  <si>
    <t>Net cash generated from / (used in) financing activities</t>
  </si>
  <si>
    <t>Increase / (decrease) in cash and cash equivalents</t>
  </si>
  <si>
    <t>Unrealised gains / (losses) on foreign exchange</t>
  </si>
  <si>
    <t>Gains / (losses) on foreign exchange</t>
  </si>
  <si>
    <t>Fair value gains / (losses) on financial assets / investments</t>
  </si>
  <si>
    <t xml:space="preserve">Valuation / gross cost at start of period as FT </t>
  </si>
  <si>
    <t>Follow the instructions below to direct the links to your local TAC schedule.</t>
  </si>
  <si>
    <t>There are no validation checks within this accounts template, so at this point we recommend you review the document for reasonableness (not presentation at this stage) - checking that note totals agree between the TAC schedules and accounts, checking that primary statements are accurate, and so forth.</t>
  </si>
  <si>
    <t>Step 5: Submission of accounts to NHS Improvement</t>
  </si>
  <si>
    <t>Please send any comments to provider.accounts@improvement.nhs.uk</t>
  </si>
  <si>
    <t>Leases are classified as finance leases when substantially all the risks and rewards of ownership are transferred to the lessee. All other leases are classified as operating leases.</t>
  </si>
  <si>
    <t>Navigate to your locally saved PFR file and select.</t>
  </si>
  <si>
    <t>In preparing this accounts template we have linked cells to the TAC schedules but you should verify that these are correct, and that nothing has been affected by changing the link to your PFR.</t>
  </si>
  <si>
    <t>◦ aggregating rows or columns within disclosure notes - care then needs to be taken to update the PFR mapping</t>
  </si>
  <si>
    <t>In the dialog box that appears, highlight the PFR source file (and any other linked working papers in turn) and select 'Break Link'.</t>
  </si>
  <si>
    <t>Capital payables</t>
  </si>
  <si>
    <t>Accruals</t>
  </si>
  <si>
    <t xml:space="preserve">The Better Payment Practice code requires the NHS body to aim to pay all valid invoices by the due date or within 30 days of receipt of valid invoice, whichever is later. </t>
  </si>
  <si>
    <t>Step 1: Link the accounts template to your PFR file</t>
  </si>
  <si>
    <t>Step 2: Check that the PFR linking is working and the accounts hold together</t>
  </si>
  <si>
    <t>Name of trust</t>
  </si>
  <si>
    <t>Many trusts prepare group accounts, as they consolidate an NHS charitable fund or other subsidiaries. Many other trusts do not prepare group accounts. As such there are two versions of this template:</t>
  </si>
  <si>
    <r>
      <rPr>
        <b/>
        <u/>
        <sz val="9"/>
        <color rgb="FF0000FF"/>
        <rFont val="Arial"/>
        <family val="2"/>
      </rPr>
      <t>Updating links:</t>
    </r>
    <r>
      <rPr>
        <sz val="9"/>
        <color theme="1"/>
        <rFont val="Arial"/>
        <family val="2"/>
      </rPr>
      <t xml:space="preserve">
This file contains links to a dummy PFR file.  To update the links to your locally completed PFR select</t>
    </r>
    <r>
      <rPr>
        <sz val="9"/>
        <color rgb="FF0000FF"/>
        <rFont val="Arial"/>
        <family val="2"/>
      </rPr>
      <t xml:space="preserve"> 'Data'</t>
    </r>
    <r>
      <rPr>
        <sz val="9"/>
        <color theme="1"/>
        <rFont val="Arial"/>
        <family val="2"/>
      </rPr>
      <t xml:space="preserve"> on the ribbon and within the </t>
    </r>
    <r>
      <rPr>
        <sz val="9"/>
        <color rgb="FF0000FF"/>
        <rFont val="Arial"/>
        <family val="2"/>
      </rPr>
      <t>'Connections'</t>
    </r>
    <r>
      <rPr>
        <sz val="9"/>
        <color theme="1"/>
        <rFont val="Arial"/>
        <family val="2"/>
      </rPr>
      <t xml:space="preserve"> section select </t>
    </r>
    <r>
      <rPr>
        <sz val="9"/>
        <color rgb="FF0000FF"/>
        <rFont val="Arial"/>
        <family val="2"/>
      </rPr>
      <t>'Edit Links'</t>
    </r>
    <r>
      <rPr>
        <sz val="9"/>
        <color theme="1"/>
        <rFont val="Arial"/>
        <family val="2"/>
      </rPr>
      <t xml:space="preserve">.  In the dialogue box, select the existing source (linked to a dummy file) and choose </t>
    </r>
    <r>
      <rPr>
        <sz val="9"/>
        <color rgb="FF0000FF"/>
        <rFont val="Arial"/>
        <family val="2"/>
      </rPr>
      <t>'Change source'</t>
    </r>
    <r>
      <rPr>
        <sz val="9"/>
        <color theme="1"/>
        <rFont val="Arial"/>
        <family val="2"/>
      </rPr>
      <t>.  Then navigate to where your local TAC file is saved and select.  This will redirect all links in this workbook to your trust's TAC file.</t>
    </r>
  </si>
  <si>
    <t>External financing limit (EFL)</t>
  </si>
  <si>
    <t>Cash flow financing</t>
  </si>
  <si>
    <t>External financing requirement</t>
  </si>
  <si>
    <t>We recognise that every trust is different, and will have slightly differing disclosure requirements. As such the spreadsheet is entirely unprotected: in using this tool you will need to hide rows/columns as appropriate or you may wish to aggregate immaterial rows or columns and update the mapping to the TAC schedules. As such NHS Improvement cannot guarantee that a set of accounts prepared using this tool will be compliant with the GAM to an extent that will satisfy the trust's auditors. In using this tool trusts will need to adapt it for local circumstances and NHS Improvement accepts no responsibility for the accounts that are produced.</t>
  </si>
  <si>
    <t>The last tab of this template, tab 'Staff report tables', contains tables for disclosures that should be included in the annual report and not the accounts (per the FT ARM paragraph 2.80 and GAM paragraph 3.57).</t>
  </si>
  <si>
    <t xml:space="preserve">The Group version of the template assumes that the Trust takes advantage of the Companies Act exemption repeated in the GAM (paragraph 5.9) which allows the parent (i.e. Trust) statement of comprehensive income and related notes to be omitted. The SOCI and its supporting notes therefore omit 'Trust' columns. Some trusts may wish to add these back in, or in some cases add additional disclosure explaining what the difference between group and trust numbers would be. </t>
  </si>
  <si>
    <t>Black Country Partnership NHS Foundation Trust</t>
  </si>
  <si>
    <t>Doncaster &amp; Bassetlaw Teaching Hospitals NHS Foundation Trust</t>
  </si>
  <si>
    <t>ESSEXPART</t>
  </si>
  <si>
    <t>Essex Partnership University NHS Foundation Trust</t>
  </si>
  <si>
    <t>Guy's &amp; St Thomas' NHS Foundation Trust</t>
  </si>
  <si>
    <t>MANUNI</t>
  </si>
  <si>
    <t>Manchester University NHS Foundation Trust</t>
  </si>
  <si>
    <t xml:space="preserve">North West Anglia NHS Foundation Trust </t>
  </si>
  <si>
    <t xml:space="preserve">North West Boroughs Healthcare NHS Foundation Trusts </t>
  </si>
  <si>
    <t>St George's University Hospitals NHS Foundation Trust</t>
  </si>
  <si>
    <t>The Queen Elizabeth Hospital King's Lynn NHS Foundation Trust</t>
  </si>
  <si>
    <t>AVONHEALTH</t>
  </si>
  <si>
    <t>Avon and Wiltshire Mental Health Partnership NHS Trust</t>
  </si>
  <si>
    <t>BARKING</t>
  </si>
  <si>
    <t>Barking, Havering and Redbridge University Hospitals NHS Trust</t>
  </si>
  <si>
    <t>BARNET</t>
  </si>
  <si>
    <t>Barnet, Enfield And Haringey Mental Health NHS Trust</t>
  </si>
  <si>
    <t>BARTS</t>
  </si>
  <si>
    <t>Barts Health NHS Trust</t>
  </si>
  <si>
    <t>BEDFORD</t>
  </si>
  <si>
    <t>Bedford Hospital NHS Trust</t>
  </si>
  <si>
    <t>BRIGHTON</t>
  </si>
  <si>
    <t>Brighton and Sussex University Hospitals NHS Trust</t>
  </si>
  <si>
    <t>BUCKSHEALTH</t>
  </si>
  <si>
    <t>Buckinghamshire Healthcare NHS Trust</t>
  </si>
  <si>
    <t>CAMBCOMM</t>
  </si>
  <si>
    <t>Cambridgeshire Community Services NHS Trust</t>
  </si>
  <si>
    <t>CLONDONCOMM</t>
  </si>
  <si>
    <t>Central London Community Healthcare NHS Trust</t>
  </si>
  <si>
    <t>COVENTRYPART</t>
  </si>
  <si>
    <t>Coventry and Warwickshire Partnership NHS Trust</t>
  </si>
  <si>
    <t>CROYDON</t>
  </si>
  <si>
    <t>Croydon Health Services NHS Trust</t>
  </si>
  <si>
    <t>DARTFORD</t>
  </si>
  <si>
    <t>Dartford and Gravesham NHS Trust</t>
  </si>
  <si>
    <t>DEVONPART</t>
  </si>
  <si>
    <t>Devon Partnership NHS Trust</t>
  </si>
  <si>
    <t>DUDLEYHEALTH</t>
  </si>
  <si>
    <t>Dudley And Walsall Mental Health Partnership NHS Trust</t>
  </si>
  <si>
    <t>ENHERTS</t>
  </si>
  <si>
    <t>East And North Hertfordshire NHS Trust</t>
  </si>
  <si>
    <t>EASTCHESHIRE</t>
  </si>
  <si>
    <t>East Cheshire NHS Trust</t>
  </si>
  <si>
    <t>EASTLANCS</t>
  </si>
  <si>
    <t>East Lancashire Hospitals NHS Trust</t>
  </si>
  <si>
    <t>EASTMIDLANDSAMB</t>
  </si>
  <si>
    <t>East Midlands Ambulance Service NHS Trust</t>
  </si>
  <si>
    <t>EASTENGLANDAMB</t>
  </si>
  <si>
    <t>East of England Ambulance Service NHS Trust</t>
  </si>
  <si>
    <t>EASTSUSSEX</t>
  </si>
  <si>
    <t>East Sussex Healthcare NHS Trust</t>
  </si>
  <si>
    <t>EPSOM</t>
  </si>
  <si>
    <t>Epsom and St Helier University Hospitals NHS Trust</t>
  </si>
  <si>
    <t>GEORGEELIOT</t>
  </si>
  <si>
    <t>George Eliot Hospital NHS Trust</t>
  </si>
  <si>
    <t>GLOSCOMM</t>
  </si>
  <si>
    <t>Gloucestershire Care Services NHS Trust</t>
  </si>
  <si>
    <t>HERTSCOMM</t>
  </si>
  <si>
    <t>Hertfordshire Community NHS Trust</t>
  </si>
  <si>
    <t>HOUNSLOWCOMM</t>
  </si>
  <si>
    <t>Hounslow and Richmond Community Healthcare NHS Trust</t>
  </si>
  <si>
    <t>HULL</t>
  </si>
  <si>
    <t>IMPERIAL</t>
  </si>
  <si>
    <t>Imperial College Healthcare NHS Trust</t>
  </si>
  <si>
    <t>IPSWICH</t>
  </si>
  <si>
    <t>Ipswich Hospital NHS Trust</t>
  </si>
  <si>
    <t>ISLEOFWIGHT</t>
  </si>
  <si>
    <t>Isle of Wight NHS Trust</t>
  </si>
  <si>
    <t>KENTMEDWAY</t>
  </si>
  <si>
    <t>Kent and Medway NHS and Social Care Partnership NHS Trust</t>
  </si>
  <si>
    <t>LEEDSCOMM</t>
  </si>
  <si>
    <t>Leeds Community Healthcare NHS Trust</t>
  </si>
  <si>
    <t>LEEDSTEACH</t>
  </si>
  <si>
    <t>Leeds Teaching Hospitals NHS Trust</t>
  </si>
  <si>
    <t>LEICESTERPART</t>
  </si>
  <si>
    <t>Leicestershire Partnership NHS Trust</t>
  </si>
  <si>
    <t>LEWISHAM</t>
  </si>
  <si>
    <t>Lewisham and Greenwich NHS Trust</t>
  </si>
  <si>
    <t>LINCSCOMM</t>
  </si>
  <si>
    <t>Lincolnshire Community Health Services NHS Trust</t>
  </si>
  <si>
    <t>LONDONAMB</t>
  </si>
  <si>
    <t>London Ambulance Service NHS Trust</t>
  </si>
  <si>
    <t>NWLONDON</t>
  </si>
  <si>
    <t>MAIDSTONE</t>
  </si>
  <si>
    <t>Maidstone And Tunbridge Wells NHS Trust</t>
  </si>
  <si>
    <t>MIDESSEX</t>
  </si>
  <si>
    <t>Mid Essex Hospital Services NHS Trust</t>
  </si>
  <si>
    <t>MIDYORKS</t>
  </si>
  <si>
    <t>Mid Yorkshire Hospitals NHS Trust</t>
  </si>
  <si>
    <t>NORFOLKCOMM</t>
  </si>
  <si>
    <t>Norfolk Community Health and Care NHS Trust</t>
  </si>
  <si>
    <t>NORTHBRISTOL</t>
  </si>
  <si>
    <t>North Bristol NHS Trust</t>
  </si>
  <si>
    <t>NORTHCUMBRIA</t>
  </si>
  <si>
    <t>North Cumbria University Hospitals NHS Trust</t>
  </si>
  <si>
    <t>NMIDDLESEX</t>
  </si>
  <si>
    <t>North Middlesex University Hospital NHS Trust</t>
  </si>
  <si>
    <t>NORTHSTAFFS</t>
  </si>
  <si>
    <t>North Staffordshire Combined Healthcare NHS Trust</t>
  </si>
  <si>
    <t>NWESTAMB</t>
  </si>
  <si>
    <t>North West Ambulance Service NHS Trust</t>
  </si>
  <si>
    <t>NORTHAMPTON</t>
  </si>
  <si>
    <t>Northampton General Hospital NHS Trust</t>
  </si>
  <si>
    <t>NORTHDEVONCARE</t>
  </si>
  <si>
    <t>Northern Devon Healthcare NHS Trust</t>
  </si>
  <si>
    <t>NOTTINGHAM</t>
  </si>
  <si>
    <t>Nottingham University Hospitals NHS Trust</t>
  </si>
  <si>
    <t>PENNINE</t>
  </si>
  <si>
    <t>Pennine Acute Hospitals NHS Trust</t>
  </si>
  <si>
    <t>PLYMOUTH</t>
  </si>
  <si>
    <t>PORTSMOUTH</t>
  </si>
  <si>
    <t>Portsmouth Hospitals NHS Trust</t>
  </si>
  <si>
    <t>ROYALCORNWALL</t>
  </si>
  <si>
    <t>Royal Cornwall Hospitals NHS Trust</t>
  </si>
  <si>
    <t>ROYALLIVERPOOL</t>
  </si>
  <si>
    <t>Royal Liverpool and Broadgreen University Hospitals NHS Trust</t>
  </si>
  <si>
    <t>RNOH</t>
  </si>
  <si>
    <t>Royal National Orthopaedic Hospital NHS Trust</t>
  </si>
  <si>
    <t>SANDWELL</t>
  </si>
  <si>
    <t>Sandwell And West Birmingham Hospitals NHS Trust</t>
  </si>
  <si>
    <t>SHREWSBURY</t>
  </si>
  <si>
    <t>Shrewsbury and Telford Hospital NHS Trust</t>
  </si>
  <si>
    <t>SHROPSHIRECOMM</t>
  </si>
  <si>
    <t>Shropshire Community Health NHS Trust</t>
  </si>
  <si>
    <t>SOLENT</t>
  </si>
  <si>
    <t>Solent NHS Trust</t>
  </si>
  <si>
    <t>SWLONDON</t>
  </si>
  <si>
    <t>South West London and St George's Mental Health NHS Trust</t>
  </si>
  <si>
    <t>SOUTHPORT</t>
  </si>
  <si>
    <t>Southport And Ormskirk Hospital NHS Trust</t>
  </si>
  <si>
    <t>STHELENS</t>
  </si>
  <si>
    <t>STAFFSPART</t>
  </si>
  <si>
    <t>Staffordshire and Stoke on Trent Partnership NHS Trust</t>
  </si>
  <si>
    <t>SURREYSUSSEX</t>
  </si>
  <si>
    <t>Surrey And Sussex Healthcare NHS Trust</t>
  </si>
  <si>
    <t>PRINCESSALEX</t>
  </si>
  <si>
    <t>The Princess Alexandra Hospital NHS Trust</t>
  </si>
  <si>
    <t>WOLVERHAMPTON</t>
  </si>
  <si>
    <t>The Royal Wolverhampton NHS Trust</t>
  </si>
  <si>
    <t>WHITTINGTON</t>
  </si>
  <si>
    <t>The Whittington Health NHS Trust</t>
  </si>
  <si>
    <t>UNITEDLINCS</t>
  </si>
  <si>
    <t>United Lincolnshire Hospitals NHS Trust</t>
  </si>
  <si>
    <t>COVENTRY</t>
  </si>
  <si>
    <t>University Hospitals Coventry And Warwickshire NHS Trust</t>
  </si>
  <si>
    <t>LEICESTER</t>
  </si>
  <si>
    <t>University Hospitals of Leicester NHS Trust</t>
  </si>
  <si>
    <t>NORTHMIDLANDS</t>
  </si>
  <si>
    <t>University Hospitals of North Midlands NHS Trust</t>
  </si>
  <si>
    <t>WALSALL</t>
  </si>
  <si>
    <t>Walsall Healthcare NHS Trust</t>
  </si>
  <si>
    <t>WESTHERTS</t>
  </si>
  <si>
    <t>West Hertfordshire Hospitals NHS Trust</t>
  </si>
  <si>
    <t>WESTLONDON</t>
  </si>
  <si>
    <t>WESTON</t>
  </si>
  <si>
    <t>Weston Area Health NHS Trust</t>
  </si>
  <si>
    <t>WORCESTERSHIRE</t>
  </si>
  <si>
    <t>Worcestershire Acute Hospitals NHS Trust</t>
  </si>
  <si>
    <t>WORCSHEALTH</t>
  </si>
  <si>
    <t>Worcestershire Health and Care NHS Trust</t>
  </si>
  <si>
    <t>WYEVALLEY</t>
  </si>
  <si>
    <t>Wye Valley NHS Trust</t>
  </si>
  <si>
    <t>YORKSHIREAMB</t>
  </si>
  <si>
    <t>Yorkshire Ambulance Service NHS Trust</t>
  </si>
  <si>
    <t>Type</t>
  </si>
  <si>
    <t>FT</t>
  </si>
  <si>
    <t>Trust</t>
  </si>
  <si>
    <t>NHS England</t>
  </si>
  <si>
    <t>Clinical commissioning groups</t>
  </si>
  <si>
    <t>Fair value gains / (losses) on financial liabilities</t>
  </si>
  <si>
    <t>Prepayments (non-PFI)</t>
  </si>
  <si>
    <t>Provider accounts template - single entity accounts</t>
  </si>
  <si>
    <t>Purchase of healthcare from non-NHS and non-DHSC bodies</t>
  </si>
  <si>
    <t>Movement on loans from the Department of Health and Social Care</t>
  </si>
  <si>
    <t>Loans from the Department of Health and Social Care</t>
  </si>
  <si>
    <t>Loans from the Department of Health and Scoial Care</t>
  </si>
  <si>
    <t>Cash and cash equivalents at 1 April - brought forward</t>
  </si>
  <si>
    <t>Cash and cash equivalents at 1 April - restated</t>
  </si>
  <si>
    <t>Increase / (decrease) in payables and other liabilties</t>
  </si>
  <si>
    <t>Non-current assets held for sale / assets in disposal groups</t>
  </si>
  <si>
    <t>Add back non-cash element of On-SoFP pension scheme charges</t>
  </si>
  <si>
    <t>Gross capital expenditure</t>
  </si>
  <si>
    <t>Total future obligations under these on-SoFP schemes are as follows:</t>
  </si>
  <si>
    <t>Re-structuring</t>
  </si>
  <si>
    <t>a) Accounting valuation</t>
  </si>
  <si>
    <t>b) Full actuarial (funding) valuation</t>
  </si>
  <si>
    <t>Owned - purchased</t>
  </si>
  <si>
    <t>Owned - donated</t>
  </si>
  <si>
    <t>Owned - government granted</t>
  </si>
  <si>
    <t>Where the trust opts to use this template as a basis for their annual accounts, links to the PFR file (and all other working papers) should be broken before uploading the file to the trust's NHSI portal (for both the draft and final accounts submission).  This will prevent #REF! errors appearing when NHS Improvement  attempts to view the accounts.  Links to the PFR file can be broken as follows:</t>
  </si>
  <si>
    <t>Your comments on this tool are very welcome. In future years we would like to explore adding additional functionality to the tool: please get in touch if you have any comments.</t>
  </si>
  <si>
    <t>Total finance costs</t>
  </si>
  <si>
    <t>Royal Papworth Hospital NHS Foundation Trust</t>
  </si>
  <si>
    <t>The trust is given an external financing limit against which it is permitted to underspend:</t>
  </si>
  <si>
    <t>Provider status</t>
  </si>
  <si>
    <t>2019</t>
  </si>
  <si>
    <t>2019/20</t>
  </si>
  <si>
    <t>Receivables</t>
  </si>
  <si>
    <t>Interest on loans</t>
  </si>
  <si>
    <t>Other interest</t>
  </si>
  <si>
    <t>Non-patient care services to other bodies</t>
  </si>
  <si>
    <t>Income in respect of employee benefits accounted on a gross basis</t>
  </si>
  <si>
    <t>Education and training - notional income from apprenticeship fund</t>
  </si>
  <si>
    <t>Charges to operating expenditure for off-SoFP PFI / LIFT schemes</t>
  </si>
  <si>
    <t>within one year</t>
  </si>
  <si>
    <t>after five years</t>
  </si>
  <si>
    <t>Financial assets reserve</t>
  </si>
  <si>
    <t>Other non-contract operating income</t>
  </si>
  <si>
    <t>Other contract income</t>
  </si>
  <si>
    <t>Total revenue allocated to remainig performance obligations</t>
  </si>
  <si>
    <t>Revenue from existing contracts allocated to remaining performance obligations is expected to be recognised:</t>
  </si>
  <si>
    <t>The trust has exercised the practical expedients permitted by IFRS 15 paragraph 121 in preparing this disclosure. Revenue from (i) contracts with an expected duration of one year or less and (ii) contracts where the trust recognises revenue directly corresponding to work done to date is not disclosed.</t>
  </si>
  <si>
    <t>Movement in credit loss allowance: contract receivables / contract assets</t>
  </si>
  <si>
    <t>Movement in credit loss allowance: all other receivables and investments</t>
  </si>
  <si>
    <t>Other operating income from contracts with customers:</t>
  </si>
  <si>
    <t>Research and development (contract)</t>
  </si>
  <si>
    <t>Education and training (excluding notional apprenticeship levy income)</t>
  </si>
  <si>
    <t>after one year, not later than five years</t>
  </si>
  <si>
    <t>Charges to operating expenditure for on-SoFP IFRIC 12 schemes (e.g. PFI / LIFT)</t>
  </si>
  <si>
    <t>Allowance for other impaired receivables</t>
  </si>
  <si>
    <t>Contract receivables and contract assets</t>
  </si>
  <si>
    <t>All other receivables</t>
  </si>
  <si>
    <t>Impact of implementing IFRS 9 (and IFRS 15) on 1 April 2018</t>
  </si>
  <si>
    <t>New allowances arising</t>
  </si>
  <si>
    <t>Utilisation of allowances (write offs)</t>
  </si>
  <si>
    <t>All receivables</t>
  </si>
  <si>
    <t>Note to preparer- The comparatives are not included in the TAC form in 18/19 - they should be entered manually by the provider</t>
  </si>
  <si>
    <t>Pensions: early departure costs</t>
  </si>
  <si>
    <t>1997/98 to 2008/09</t>
  </si>
  <si>
    <t>Other borrowings</t>
  </si>
  <si>
    <t>Finance leases</t>
  </si>
  <si>
    <t>PFI and LIFT schemes</t>
  </si>
  <si>
    <t>Cash movements:</t>
  </si>
  <si>
    <t>Financing cash flows - payments and receipts of principal</t>
  </si>
  <si>
    <t>Financing cash flows - payments of interest</t>
  </si>
  <si>
    <t>Non-cash movements:</t>
  </si>
  <si>
    <t>Application of effective interest rate</t>
  </si>
  <si>
    <t>IFRS 9 replaces IAS 39 and introduces a revised approach to classification and measurement of financial assets and financial liabilities, a new forward-looking 'expected loss' impairment model and a revised approach to hedge accounting.</t>
  </si>
  <si>
    <t xml:space="preserve">This accounts template has been developed by NHS Improvement for use by NHS providers (NHS FTs and NHS trusts) and is entirely optional for use. </t>
  </si>
  <si>
    <t>Revenue recognised in the reporting period that was included in within contract liabilities at the previous period end</t>
  </si>
  <si>
    <t>IFRS 9 and IFRS 15 are adopted without restatement therefore this analysis is prepared in line with the requirements of IFRS 7 prior to IFRS 9 adoption. As a result it differs in format to the current period disclosure.</t>
  </si>
  <si>
    <t>Pensions: injury benefits*</t>
  </si>
  <si>
    <t>IFRS 9 Financial Instruments is applied restrospectively from 1 April 2018 without restatement of comparatives. As such, comparative disclosures have been prepared under IAS 39 and the measurement categories differ to those in the current year analyses.</t>
  </si>
  <si>
    <t>IFRS 9 Financial Instruments as interpreted and adapted by the GAM has been applied by the Trust from 1 April 2018. The standard is applied retrospectively with the cumulative effect of initial application recognised as an adjustment to reserves on 1 April 2018.</t>
  </si>
  <si>
    <t>IFRS 15 Revenue from Contracts with Customers as interpreted and adapted by the GAM has been applied by the Trust from 1 April 2018. The standard is applied retrospectively with the cumulative effect of initial application recognised as an adjustment to the income and expenditure reserve on 1 April 2018.</t>
  </si>
  <si>
    <t>IFRS 15 introduces a new model for the recognition of revenue from contracts with customers replacing the previous standards IAS 11, IAS 18 and related Interpretations. The core principle of IFRS 15 is that an entity recognises revenue when it satisfies performance obligations through the transfer of promised goods or services to customers at an amount that reflects the consideration to which the entity expects to be entitled to in exchange for those goods or services.</t>
  </si>
  <si>
    <t>As directed by the GAM, the Trust has applied the practical expedient offered in C7A of the standard removing the need to retrospectively restate any contract modifications that occurred before the date of implementation (1 April 2018).</t>
  </si>
  <si>
    <t>Recycling gains / (losses) on disposal of financial assets mandated as fair value through OCI</t>
  </si>
  <si>
    <t>Birmingham Women’s and Children's NHS Foundation Trust</t>
  </si>
  <si>
    <t>Chelsea and Westminster Hospital NHS Foundation Trust</t>
  </si>
  <si>
    <t>East Suffolk and North Essex NHS Foundation Trust</t>
  </si>
  <si>
    <t>University Hospitals of Derby and Burton NHS Foundation Trust</t>
  </si>
  <si>
    <t>Hull University Teaching Hospitals NHS Trust</t>
  </si>
  <si>
    <t>Humber Teaching NHS Foundation Trust</t>
  </si>
  <si>
    <t>Northern Lincolnshire and Goole NHS Foundation Trust</t>
  </si>
  <si>
    <t>Northumberland, Tyne and Wear NHS Foundation Trust</t>
  </si>
  <si>
    <t>London North West University Healthcare NHS Trust</t>
  </si>
  <si>
    <t>University Hospitals Plymouth NHS Trust</t>
  </si>
  <si>
    <t>Midlands Partnership NHS Foundation Trust</t>
  </si>
  <si>
    <t>St Helens And Knowsley Teaching Hospitals NHS Trust</t>
  </si>
  <si>
    <t>West London NHS Trust</t>
  </si>
  <si>
    <t>West Midlands Ambulance Service University NHS Foundation Trust</t>
  </si>
  <si>
    <t>◦ tailoring existing notes where manual inputs/updates are required:</t>
  </si>
  <si>
    <t>◦ updating accounting policies - this template includes the example accounting policies issued by NHS Improvement.  These require local tailoring or replacing with the trust's own accounting policy disclosures:</t>
  </si>
  <si>
    <t>Agenda for Change pay award central funding</t>
  </si>
  <si>
    <t>Injury cost recovery scheme</t>
  </si>
  <si>
    <t>Off-SoFP PFI residual interests</t>
  </si>
  <si>
    <t>Loans 
from 
DHSC</t>
  </si>
  <si>
    <t>Plus: Loss on disposal from capital grants in kind</t>
  </si>
  <si>
    <t>Adjusted financial performance (control total basis):</t>
  </si>
  <si>
    <t>Surplus / (deficit) for the period</t>
  </si>
  <si>
    <t>Remove non-cash element of on-SoFP pension costs</t>
  </si>
  <si>
    <t>Adjusted financial performance surplus / (deficit)</t>
  </si>
  <si>
    <t>CQUIN risk reserve adjustment (2017/18 only)</t>
  </si>
  <si>
    <t>Remove 2016/17 post audit STF reallocation (2017/18 only)</t>
  </si>
  <si>
    <t>Chief Executive</t>
  </si>
  <si>
    <t xml:space="preserve">These accounts have been prepared under the historical cost convention modified to account for the revaluation of property, plant and equipment, intangible assets, inventories and certain financial assets and financial liabilities. </t>
  </si>
  <si>
    <t>In the application of the Trust’s accounting policies, management is required to make judgements, estimates and assumptions about the carrying amounts of assets and liabilities that are not readily apparent from other sources. The estimates and associated assumptions are based on historical experience and other factors that are considered to be relevant. Actual results may differ from those estimates and the estimates and underlying assumptions are continually reviewed. Revisions to accounting estimates are recognised in the period in which the estimate is revised, but only if the revision affects the current period, future periods, or both.</t>
  </si>
  <si>
    <t>The main uses of accounting estimates are in respect of:</t>
  </si>
  <si>
    <t>- the lives and values of assets (notes 1, 12, 13 and 14)</t>
  </si>
  <si>
    <t>- amounts to be accrued as expenditure</t>
  </si>
  <si>
    <t>Specific details are provided in the notes relating to these items. Where possible the trust makes use of professional skills where critical judgements are required for accounting purposes. These include:</t>
  </si>
  <si>
    <t>- reliance on the Valuer to assess the value and probable lives of buildings and land,   and</t>
  </si>
  <si>
    <t>- the use of assessments from the NHS Litigation Authority in making provision for liabilities</t>
  </si>
  <si>
    <t xml:space="preserve">- specific estimates and judgements are detailed separately. </t>
  </si>
  <si>
    <t>The key judgement about the future is that the Trust continues to be a going concern. This assumption underpins the most significant areas of estimation uncertainty at the end of the reporting period, and if changed would have a significant risk of causing a material adjustment to the carrying amounts of assets and liabilities and other amounts reported in these accounts.</t>
  </si>
  <si>
    <t>Interests in trading companies will be carried at market value, where that value can be measured. Where there is no market value available investments will be valued at cost in line with the requirements of IAS39. Where the Trust has a holding in an associated company it will account for that holding as required by IAS28.</t>
  </si>
  <si>
    <t>Activities are considered to be ‘acquired’ only if they are taken on from outside the public sector. Activities are considered to be ‘discontinued’ only if they cease entirely. They are not considered to be ‘discontinued’ if they transfer from one public sector body to another.</t>
  </si>
  <si>
    <t>Short-term employee benefits</t>
  </si>
  <si>
    <t xml:space="preserve">Salaries, wages and employment-related payments are recognised in the period in which the service is received from employees. The cost of leave earned but not taken by employees at the end of the period is recognised in the financial statements to the extent that employees are permitted to carry forward leave into the following period.
</t>
  </si>
  <si>
    <t>Pension costs</t>
  </si>
  <si>
    <t>Past and present employees are covered by the provisions of the NHS Pensions Scheme. The scheme is an unfunded, defined benefit scheme that covers NHS employers, General Practices and other bodies, allowed under the direction of the Secretary of State, in England and Wales. The scheme is not designed to be run in a way that would enable NHS bodies to identify their share of the underlying scheme assets and liabilities. Therefore, the scheme is accounted for as if it were a defined contribution scheme: the cost to the NHS body of participating in the scheme is taken as equal to the contributions payable to the scheme for the accounting period. For early retirements other than those due to ill health the additional pension liabilities are not funded by the scheme. The full amount of the liability for the additional costs is charged to expenditure at the time the Trust commits itself to the retirement, regardless of the method of payment.</t>
  </si>
  <si>
    <t>Other operating expenses are recognised when, and to the extent that, the goods or services have been received. They are measured at the fair value of the consideration payable.</t>
  </si>
  <si>
    <t>Property, plant and equipment is capitalised if:</t>
  </si>
  <si>
    <t>● it is held for use in delivering services or for administrative purposes;</t>
  </si>
  <si>
    <t>● it is probable that future economic benefits will flow to, or service potential will be supplied to the Trust;</t>
  </si>
  <si>
    <t>● it is expected to be used for more than one financial year;</t>
  </si>
  <si>
    <t>● the cost of the item can be measured reliably; and</t>
  </si>
  <si>
    <t>● the item has cost of at least £5,000.   However there are some circumstances where an individual item with a value of less than £5,000 will be capitalised:</t>
  </si>
  <si>
    <t>● where collectively, a number of items have a cost of at least £5,000 and individually have a cost of more than £250, where the assets are functionally interdependent, they had broadly simultaneous purchase dates, are anticipated to have simultaneous disposal dates and are under single managerial control; or</t>
  </si>
  <si>
    <r>
      <t>● Items form part of the initial equipping and</t>
    </r>
    <r>
      <rPr>
        <b/>
        <i/>
        <sz val="9"/>
        <rFont val="Arial"/>
        <family val="2"/>
      </rPr>
      <t xml:space="preserve"> </t>
    </r>
    <r>
      <rPr>
        <sz val="9"/>
        <rFont val="Arial"/>
        <family val="2"/>
      </rPr>
      <t>setting-up cost of a new building, ward or unit,</t>
    </r>
    <r>
      <rPr>
        <b/>
        <i/>
        <sz val="9"/>
        <rFont val="Arial"/>
        <family val="2"/>
      </rPr>
      <t xml:space="preserve"> </t>
    </r>
    <r>
      <rPr>
        <sz val="9"/>
        <rFont val="Arial"/>
        <family val="2"/>
      </rPr>
      <t>irrespective of their individual or collective cost.</t>
    </r>
  </si>
  <si>
    <t>Where a large asset, for example a building, includes a number of components with significantly different asset lives, the components are treated as separate assets and depreciated over their own useful economic lives.</t>
  </si>
  <si>
    <t xml:space="preserve">Valuation
</t>
  </si>
  <si>
    <t xml:space="preserve">Subsequent expenditure </t>
  </si>
  <si>
    <t xml:space="preserve">Depreciation </t>
  </si>
  <si>
    <t>Medical Equipment 5-17 years*</t>
  </si>
  <si>
    <t>Plant and Machinery 5-30 years*</t>
  </si>
  <si>
    <t>Transport 5-12 years</t>
  </si>
  <si>
    <t>IT Equipment 5-12 years*</t>
  </si>
  <si>
    <t>Assets in the course of construction are not depreciated until the asset is brought into use.</t>
  </si>
  <si>
    <t xml:space="preserve">Buildings, installations and fittings are depreciated, based on their fair value, over the remaining life of the asset as advised by the independent Valuer, Cushman and Wakefield. Leaseholds are depreciated over the primary lease term. Equipment is depreciated replacement cost (as a proxy for fair value), evenly over the estimated life of the asset. </t>
  </si>
  <si>
    <t>Impairment</t>
  </si>
  <si>
    <t>A revaluation decrease that does not result from a loss of economic value or service potential is recognised as an impairment charged to the revaluation reserve to the extent that there is a balance on the reserve for the asset and, thereafter, to expenditure. Impairment losses that arise from a clear consumption of economic benefit are taken to expenditure. Where an impairment loss subsequently reverses, the carrying amount of the asset is increased to the revised estimate of the recoverable amount but capped at the amount that would have been determined had there been no initial impairment loss. The reversal of the impairment loss is credited to expenditure to the extent of the decrease previously charged there and thereafter to the revaluation reserve.</t>
  </si>
  <si>
    <t xml:space="preserve">Impairments are analysed between Departmental Expenditure Limits (DEL) and Annually Managed Expenditure (AME) from 2011-12. This is necessary to comply with Treasury's budgeting guidance. DEL limits are set in the Spending Review and Departments may not exceed the limits that they have been set. AME budgets are set by the Treasury and may be reviewed with departments in the run-up to the Budget. Departments need to monitor AME closely and inform Treasury if they expect AME spending to rise above forecast. Whilst Treasury accepts that in some areas of AME inherent volatility may mean departments do not have the ability to manage the spending within budgets in that financial year, any expected increases in AME require Treasury approval. </t>
  </si>
  <si>
    <t>Non-current assets are classified as held for sale if their carrying amount will be recovered principally through a sale transaction rather than through continuing use. This  is regarded as being the case when the sale is highly probable, the asset is available for immediate sale in its present condition and management is committed to the sale, which is expected to qualify for recognition as a completed sale within one year from the date of classification. 
Non-current assets held for sale are measured at the lower of their previous carrying amount and fair value less costs to sell. Fair value is open market value including alternative uses.
The profit or loss arising on disposal of an asset is the difference between the sale proceeds and the carrying amount and is recognised in the Statement of Comprehensive Income. On disposal, the balance for the asset on the revaluation reserve is transferred to the retained earnings reserve. Property, plant and equipment that is to be scrapped or demolished does not qualify for recognition as held for sale. Instead, it is retained as an operational asset and its economic life is adjusted. The asset is de-recognised when it is scrapped or demolished.</t>
  </si>
  <si>
    <t>Cash is cash in hand and deposits with any financial institution repayable without penalty on notice of not more than 24 hours. Cash equivalents are investments that mature in 3 months or less from the date of acquisition and that are readily convertible to known amounts of cash with insignificant risk of change in value. In the Statement of Cash Flows, cash and cash equivalents are shown net of bank overdrafts that are repayable on demand and that form an integral part of the Trust’s cash management.</t>
  </si>
  <si>
    <t>CRC and similar allowances are accounted for as government grant funded intangible assets if they are not expected to be realised within twelve months, and otherwise as other current assets.  They are valued at open market value. As the NHS body makes emissions, a provision is recognised with an offsetting transfer from deferred income.  The provision is settled on surrender of the allowances. The asset, provision and deferred income amounts are valued at fair value at the end of the reporting period.</t>
  </si>
  <si>
    <t>Where the terms of a lease for property plant or equipment fulfil the criteria of a finance lease, under the requirements of IAS17(and IFRIC 4), the asset is recorded as an asset and a debt is recorded to the lessor of the minimum lease payments discounted by the interest rate implicit in the lease. The interest element of the finance lease payment is charged to the Statement of Comprehensive Income over the period of the lease at a constant rate in relation to the balance outstanding. Other leases are regarded as operating leases and the rentals are
charged to the Statement of Comprehensive Income on a straight-line basis over the term of the lease. The same assessment criteria used for property plant and equipment leases, is used for land leases.</t>
  </si>
  <si>
    <t xml:space="preserve">When some or all of the economic benefits required to settle a provision are expected to be recovered from a third party, the receivable is recognised as an asset if it is virtually certain that reimbursements will be received and the amount of the receivable can be measured reliably. </t>
  </si>
  <si>
    <t>Present obligations arising under onerous contracts are recognised and measured as a provision. An onerous contract is considered to exist where the Trust has a contract under which the unavoidable costs of meeting the obligations under the contract exceed the economic benefits expected to be received under it.</t>
  </si>
  <si>
    <t>a)      Payment for the fair value of services received;</t>
  </si>
  <si>
    <t>Services received</t>
  </si>
  <si>
    <t>PFI Asset</t>
  </si>
  <si>
    <t>PFI liability</t>
  </si>
  <si>
    <t>An annual finance cost is calculated by applying the implicit interest rate in the lease to the opening lease liability for the period, and is charged to ‘Finance Costs’ within the Statement of Comprehensive Income. An element of the annual unitary payment increase due to cumulative indexation is allocated to the finance lease. In accordance with IAS 17, this amount is not included in the minimum lease payments, but is instead treated as contingent rent and is expensed as incurred. In substance, this amount is a finance cost in respect of the liability and the expense is presented as a contingent finance cost in the Statement of Comprehensive Income.</t>
  </si>
  <si>
    <t>Lifecycle replacement</t>
  </si>
  <si>
    <t>Assets contributed by the NHS trust to the operator for use in the scheme</t>
  </si>
  <si>
    <t xml:space="preserve">Assets contributed for use in the scheme continue to be recognised as items of property, plant and equipment in the Trust’s Statement of Financial Position. </t>
  </si>
  <si>
    <t>A contingent liability is a possible obligation that arises from past events and whose existence will be confirmed only by the occurrence or non-occurrence of one or more uncertain future events not wholly within the control of the trust, or a present obligation that is not recognised because it is not probable that a payment will be required to settle the obligation or the amount of the obligation cannot be measured sufficiently reliably. A contingent liability is disclosed unless the possibility of a payment is remote. A contingent asset is a possible asset that arises from past events and whose existence will be confirmed by the occurrence or non-occurrence of one or more uncertain future events not wholly within the control of the trust. A contingent asset is disclosed where an inflow of economic benefits is probable. Where the time value of money is material, contingencies are disclosed at their present value.</t>
  </si>
  <si>
    <t xml:space="preserve">Financial assets are recognised when the Trust becomes party to the financial instrument contract or, in the case of trade receivables, when the goods or services have been delivered. Financial assets are de-recognised when the contractual rights have expired or the asset has been transferred. </t>
  </si>
  <si>
    <t>Financial liabilities are recognised on the Statement of Financial Position when the trust becomes party to the contractual provisions of the financial instrument or, in the case of trade payables, when the goods or services have been received. Financial liabilities are de-recognised when the liability has been discharged, that is, the liability has been paid or has expired. Loans from the Department of Health are recognised at historical cost. Otherwise, financial liabilities are initially recognised at fair value. After initial recognition, all other financial liabilities are measured at amortised cost using the effective interest method, except for loans from Department of Health, which are carried at historic cost. The effective interest rate is the rate that exactly discounts estimated future cash payments through the life of the asset, to the net carrying amount of the financial liability. Interest is recognised using the effective interest method.</t>
  </si>
  <si>
    <t>Most of the activities of the Trust are outside the scope of VAT and, in general, output tax does not apply and input tax on purchases is not recoverable. Irrecoverable VAT is charged to the relevant expenditure category or included in the capitalised purchase cost of fixed assets. Where output tax is charged or input VAT is recoverable, the amounts are stated net of VAT.</t>
  </si>
  <si>
    <t>Losses and special payments are items that Parliament would not have contemplated when it agreed funds for the health service or passed legislation. By their nature they are items that ideally should not arise. They are therefore subject to special control procedures compared with the generality of payments. They are divided into different categories, which govern the way that individual cases are handled. Losses and special payments are charged to the relevant functional headings in expenditure on an accruals basis, including losses which would have been made good through insurance cover had NHS trusts not been bearing their own risks (with insurance premiums then being included as normal revenue expenditure).</t>
  </si>
  <si>
    <t>Following Treasury’s agreement to apply IAS 27 to NHS Charities from 1 April 2013, the Trust has established that as the Trust is the corporate trustee of the linked NHS Charity Hull and East Yorkshire Hospitals NHS Trust General Charitable fund, it effectively has the power to exercise control so as to obtain economic benefits. However the transactions are immaterial in the context of the group and transactions have not been consolidated. Details of the transactions with the charity are included in the related parties’ notes.</t>
  </si>
  <si>
    <t>Research and development expenditure is charged against income in the year in which it is incurred, except insofar as development expenditure relates to a clearly defined project and the benefits of it can reasonably be regarded as assured. Expenditure so deferred is limited to the value of future benefits expected and is amortised through the Operating Cost Statement on a systematic basis over the period expected to benefit from the project. It should be revalued on the basis of current cost. The amortisation is calculated on the same basis as depreciation, on a quarterly basis.</t>
  </si>
  <si>
    <t>Summary</t>
  </si>
  <si>
    <t>Staff &amp; Visitor catering</t>
  </si>
  <si>
    <t>Car parking</t>
  </si>
  <si>
    <t>A valuation of scheme liability is carried out annually by the scheme actuary (currently the Government Actuary’s Department) as at the end of the reporting period. This utilises an actuarial assessment for the previous accounting period in conjunction with updated membership and financial data for the current reporting period, and is accepted as providing suitably robust figures for financial reporting purposes. The valuation of the scheme liability as at 31 March 2019, is based on valuation data as 31 March 2018, updated to 31 March 2019 with summary global member and accounting data. In undertaking this actuarial assessment, the methodology prescribed in IAS 19, relevant FReM interpretations, and the discount rate prescribed by HM Treasury have also been used.</t>
  </si>
  <si>
    <t xml:space="preserve">The purpose of this valuation is to assess the level of liability in respect of the benefits due under the schemes (taking into account recent demographic experience), and to recommend contribution rates payable by employees and employers. </t>
  </si>
  <si>
    <t>c) NEST</t>
  </si>
  <si>
    <t>From 1 April 2013, Hull and East Yorkshire Hospitals NHS Trust offered an alternative pension scheme to all employees who are not eligible to be members of the NHS pension scheme at the Trust. This includes employees who are members of the NHS pension scheme through another role outside of the Trust and those that are not eligible to join the NHS pension scheme.</t>
  </si>
  <si>
    <t xml:space="preserve">Every three years all eligible employees are auto-enroled in either the NHS or alternative pension scheme. The auto-enrolment exercise was last carried out in June 2016 and following this process, all employees who meet the criteria for the alternative pension scheme are enroled each month on a continuous basis, unless they specifically opt out. </t>
  </si>
  <si>
    <t>Equipment leases are predominantly for medical equipment and vary in lease terms from 1 to 10 years. Lease payments are fixed. Any contingent rent is determined according to inflationary increases.</t>
  </si>
  <si>
    <t>The Trust also has an investment in Medipex Ltd, a company registered in the United Kingdom. The company's main activity is to assist the NHS in exploiting intellectual and industrial property rights. It is a company limited by guarantee and the Trust's liability under that guarantee is £100.</t>
  </si>
  <si>
    <t>There are no prepaid pension contributions included in the values above</t>
  </si>
  <si>
    <t>The Trust assesses each debt on an individual basis with debts only being provided for where the debtor is untracable and all reasonable steps have been taken to recover the debt, including the use of both UK and international debt collection agencies.</t>
  </si>
  <si>
    <t>Total Borrowings</t>
  </si>
  <si>
    <t>Borrowings / Loans - repayment of principal falling due in:</t>
  </si>
  <si>
    <t>31 March 2018</t>
  </si>
  <si>
    <t>DH</t>
  </si>
  <si>
    <t>31 March 2019</t>
  </si>
  <si>
    <t xml:space="preserve">  0-1 Years</t>
  </si>
  <si>
    <t xml:space="preserve">  1 - 2 Years</t>
  </si>
  <si>
    <t xml:space="preserve">  2 - 5 Years</t>
  </si>
  <si>
    <t xml:space="preserve">  Over 5 Years</t>
  </si>
  <si>
    <t>The Daisy charity have constructed a PET CT facility on the Castle Hill site, the facility became operational from Aprl 2014.  the Trust is being charged a market rent by the Daisy charity until 2034 after which ownership of the building passes to the Trust.  The Trust's obligations in respect of the PET facility and PFI buldings are set out below.</t>
  </si>
  <si>
    <t>There was no contingent rent recognised as an expense during the year (2017/18 £nil)</t>
  </si>
  <si>
    <t>Included within Legal Claims are permanent injury benefits and Employer's Liability claims; these are linked with contingent liabilities relating to Employer's Liability as disclosed in the note below</t>
  </si>
  <si>
    <t>All contingencies relate to legal claims made against the Trust (Employer and Public liability claims) and are accounted for as a contingent liability to the extent that they are not included in any formal provision.</t>
  </si>
  <si>
    <t>The Trust has three on SOFP PFI schemes none of which have total commitments in excess of £500m</t>
  </si>
  <si>
    <t>Under IFRIC 12, the following PFI schemes are treated as an asset of the Trust, and the substance of the contract is that the trust has a finance lease.  Payments under the contracts comprise two elements - imputed finance lease charges and service charges.  Details of the imputed finance lease charges are shown in the previous table.  For all of these schemes the Trust gains ownership of the buildings once the contract ends.</t>
  </si>
  <si>
    <t>Urology and Outpatients - Castle Hill Hospital Site</t>
  </si>
  <si>
    <t>The PFI partner provides the Trust with hospital accommodation for Urology and Outpatient Services at the Castle Hill site.  The contract began in Febtruary 2001 and is due to end in February 2032.</t>
  </si>
  <si>
    <t>The PFI partner provides the Trust with hospital accommodation for Maternity Services at the Hull Royal Infirmary site.  The contract for the provision of accommodation began in March 2003 and will end in March 2033.</t>
  </si>
  <si>
    <t>Accommodation for Maternity Services - Hull Royal Infirmary Site</t>
  </si>
  <si>
    <t>Queens Centre for Oncology and Haematology - Castle Hill Hospital site</t>
  </si>
  <si>
    <t>The PFI partner provides the Trust with hospital accommodation for Oncology and Haematology services at the Castle Hill site.  Work commenced in April 2006, and the building became operational in August 2008,  The contract began in June 2006 and will end in June 2037.</t>
  </si>
  <si>
    <t>The Trust accounts for the provision of staff residences on its Castle Hill Hospital site as an off SOFP PFI scheme and incurred the following charges</t>
  </si>
  <si>
    <t>Financial reporting standard IFRS 7 requires disclosure of the role that financial instruments have had during the period in creating or changing the risks a body faces in undertaking its activities.  Because of the continuing service provider relationship that the Trust has with Clinical Commissioning Groups (CCG's) and the way those CCG's are financed, the Trust is not exposed to the degree of financial risk faced by business entities.  Also financial instruments play a much more limited role in creating or changing risk than would be typical of listed companies, to which the financial reporting standards mainly apply.  The Trust has limited powers to borrow or invest surplus funds and financial assets and liabilities are generated by day-to-day operational activities rather than being held to change the risks facing the Trust in undertaking its activities.</t>
  </si>
  <si>
    <t>The Trust’s treasury management operations are carried out by the finance department, within parameters defined formally within the Trust’s standing financial instructions and policies agreed by the board of directors. The Trust's  treasury activity is subject to review by the Truist’s internal auditors.</t>
  </si>
  <si>
    <t>Currency risk</t>
  </si>
  <si>
    <t>The Trust is principally a domestic organisation with the great majority of transactions, assets and liabilities being in the UK and sterling based.  The Trust has no overseas operations.  The Trust therefore has low exposure to currency rate fluctuations.</t>
  </si>
  <si>
    <t>Interest rate risk</t>
  </si>
  <si>
    <t>The Trust borrows from government for capital expenditure, subject to affordability as confirmed by NHS Improvement.  The borrowings are for 1 – 25 years, in line with the life of the associated assets, and interest is charged at the National Loans Fund rate, fixed for the life of the loan.  The Trust therefore has low exposure to interest rate fluctuations.</t>
  </si>
  <si>
    <t>The Trust may also borrow from government for revenue financing subject to approval by NHS Improvement.  Interest rates are confirmed by the Department of Health (the lender) at the point borrowing is undertaken.</t>
  </si>
  <si>
    <t>The Trust therefore has low exposure to interest rate fluctuations.</t>
  </si>
  <si>
    <t>Credit risk</t>
  </si>
  <si>
    <t>Because the majority of revenue comes from contracts with other public sector bodies, the Trust has low exposure to credit risk.  The maximum exposures as at 31 March 2019 are in receivables from customers, as disclosed in the trade and other receivables note.</t>
  </si>
  <si>
    <t>Liquidity risk</t>
  </si>
  <si>
    <t>The total number of losses and special payments were as follows:</t>
  </si>
  <si>
    <t>No compensation payments were received in respect of any of the above.</t>
  </si>
  <si>
    <t xml:space="preserve">Hull University Teaching Hospitals NHS Trust is a body corporate established by order of the Secretary of State for Health.       </t>
  </si>
  <si>
    <t>There were no significant events to report that occurred after 31 March 2019 up to the date these accounts were signed.</t>
  </si>
  <si>
    <t>The age of all impaired financial assets is over 180 days, the age of non impaired financial assets is shown in the table below</t>
  </si>
  <si>
    <t>Ageing of non-impaired financial assets past their due date</t>
  </si>
  <si>
    <t>Trade and other  receivables</t>
  </si>
  <si>
    <t>0 - 30 days</t>
  </si>
  <si>
    <t>30-60 Days</t>
  </si>
  <si>
    <t>60-90 days</t>
  </si>
  <si>
    <t>90- 180 days</t>
  </si>
  <si>
    <t>Over 180 days</t>
  </si>
  <si>
    <t>All income related to continued activies for 2018/19 and 2017/18</t>
  </si>
  <si>
    <t xml:space="preserve">New </t>
  </si>
  <si>
    <t>All expenditure relates to continued operations</t>
  </si>
  <si>
    <r>
      <t>Intangible assets comprise of software licences and internally generated developments, all are treated as purchased assets. They are shown on the Statement of Financial Position at depreciated historic cost, as a  proxy for fair value. The lives of intangible assets are discl</t>
    </r>
    <r>
      <rPr>
        <sz val="9"/>
        <rFont val="Arial"/>
        <family val="2"/>
      </rPr>
      <t>osed in note 1 t</t>
    </r>
    <r>
      <rPr>
        <sz val="9"/>
        <color theme="1"/>
        <rFont val="Arial"/>
        <family val="2"/>
      </rPr>
      <t xml:space="preserve">o these accounts. The depreciation is based on the life of the asset, and is applied on a straight line basis. </t>
    </r>
  </si>
  <si>
    <t xml:space="preserve">The provision for early departure costs represents amounts payable to the NHS Business Services Authority, pensions division, to meet the costs of early retirement and industrial injury benefits. The provision is based on estimate of life expectancy and therefore there is a degree of uncertainty about the value of payments in the future. </t>
  </si>
  <si>
    <t>The provision for legal claims relates to claims for injury to staff or members of the Public, where the likelihood of a settlement is probable. All claims are handled by NHS Resolution  on behalf of the Trust and they advise on likelihood and value of settlement.The timing and value of settlements are subject to both local negotiation and the judgement of NHS Resolution. The Trust's liability in respect of each claim is limited to the level of excess determined by NHS Resolution.</t>
  </si>
  <si>
    <t xml:space="preserve">The Treasury’s Financial Reporting Manual (FReM) provides the following interpretation of the going concern requirements set out in IAS1 “that the continuation of the provision of the service is the important determinant of the basis of preparation of the financial statements for public sector entities”.  </t>
  </si>
  <si>
    <t>- the accounting treatment of service concession arrangements in terns of whether they should be reported on or off the Statement of Financial Position.</t>
  </si>
  <si>
    <t xml:space="preserve">All property, plant and equipment assets are measured initially at cost, representing the costs directly attributable to acquiring or constructing the asset and bringing it to the location and condition necessary for it to be capable of operating in the manner intended by management. All assets are subsequently measured at valuation. </t>
  </si>
  <si>
    <t>An item of property, plant and equipment which is surplus with no plan to bring it back into use is valued at fair value under IFRS 13, if it does not meet the requirements of IAS 40 or IFRS 5.</t>
  </si>
  <si>
    <t>Land and buildings used for the Trust’s services or for administrative purposes are stated in the Statement of Financial Position at their revalued amounts, being the value at the date of revaluation less any subsequent accumulated depreciation and impairment losses.  Revaluations are performed with sufficient regularity to ensure that carrying amounts are not materially different from those that would be determined at the end of the reporting period.  Valuations are determined as follows:</t>
  </si>
  <si>
    <t xml:space="preserve">       - Land and non-specialised buildings - market value in existing use</t>
  </si>
  <si>
    <t xml:space="preserve">       - Specialised buildings - depreciated replacement cost</t>
  </si>
  <si>
    <t>HM Treasury has adopted a standard approach to depreciated replacement cost valuations based on modern equivalent assets and, where it would meet the location requirements of the service being provided, an alternative site can be valued.  The Trust's land, buildings and dwellings assets have been valued on the basis of modern equivalent assets and where applicable an alternative site basis has been applied.</t>
  </si>
  <si>
    <t>Operational equipment - is valued at depreciated historic cost</t>
  </si>
  <si>
    <t>Equipment surplus to requirements is valued at net recoverable amount.</t>
  </si>
  <si>
    <t>Assets in the course of construction for service or administration purposes are carried at cost  less any impairment loss. Cost includes professional fees but not borrowing costs which are recognised as an expenses. Assets under construction are revalued as appropriate and depreciation commences the quarter after which the asset comes into use.</t>
  </si>
  <si>
    <t>Impairment losses resulting from changes in price are taken to the revaluation reserve in so far as a balance exists for the impaired asset, with any residual value being charged directly to the Statement of comprehensive Income. These include impairments resulting from the revaluation of buildings from their cost to their current value when they become operational.</t>
  </si>
  <si>
    <t>Assets intended for disposal are reclassified as ‘held for sale’ once all of the following criteria are met: 
• the asset is available for immediate sale in its present condition subject only to terms which are usual and customary for such sales;
• the sale must be highly probable ie:
         - management are committed to a plan to sell the asset
         - an active programme has begun to find a buyer and complete the sale
         - the asset is being actively marketed at a reasonable price
         - the sale is expected to be completed within 12 months of the date of classification as ‘held for sale’ and
         - the actions needed to complete the plan indicate it is unlikely that the plan will be dropped or significant changes made to it.
Following reclassification, the assets are measured at the lower of their existing carrying amount and their ‘fair value less costs to sell’.  Depreciation ceases to be charged. Assets are de-recognised when all material sale contract conditions have been met.
Property, plant and equipment which is to be scrapped or demolished does not qualify for recognition as ‘held for sale’ and instead is retained as an operational asset and the asset’s economic life is adjusted. The asset is de-recognised when scrapping or demolition occurs.</t>
  </si>
  <si>
    <t>Following the accounting policy change outlined in the Treasury FREM for 2011-12, a donated asset reserve is no longer maintained. Donated non-current assets are capitalised at their current value on receipt, with a matching credit to Income. They are valued, depreciated and impaired as described above for purchased assets. Gains and losses on revaluations, impairments and sales are as described above for purchased assets. Deferred income is recognised only where conditions attached to the donation preclude immediate recognition of the gain.</t>
  </si>
  <si>
    <t>Government grant funded assets are capitalised at their current value on receipt, with a matching credit to income. Deferred income is recognised only where conditions attached to the grant preclude immediate recognition of the gain.</t>
  </si>
  <si>
    <t>Inventory is valued at the lower of cost and net realisable value. This is considered to be a reasonable approximation to current cost due to the high turnover. Partially completed contracts for patient services are not accounted for as work-in-progress. Where payment for inventory has been deferred, the additional cost of the inventory is recognised as an expense in the Statement of Comprehensive Income.</t>
  </si>
  <si>
    <t>Provisions are recognised when the Trust has a present legal or constructive obligation as a result of a past event, it is probable that the Trust will be required to settle the obligation, and a reliable estimate can be made of the amount of the obligation. The amount recognised as a provision is the best estimate of the expenditure required to settle the obligation at the end of the reporting period, taking into account the risks and uncertainties. Where a provision is measured using the cash flows estimated to settle the obligation, its carrying amount is the present value of those cash flows using HM Treasury’s discount rate as published in the Government Accounting Manual.</t>
  </si>
  <si>
    <t>b )     Payment for the replacement of components of the asset during the contract ‘lifecycle replacement’</t>
  </si>
  <si>
    <t xml:space="preserve">c)      Payment for the finance lease liability, including finance costs; </t>
  </si>
  <si>
    <t>An annual finance cost is calculated by applying the implicit interest rate in the lease to the opening lease liability for the period, and is charged to ‘Finance Costs’ within the Statement of Comprehensive Income.</t>
  </si>
  <si>
    <t>The cost of services received in the year is recorded under the relevant expenditure headings within ‘operating expenses’</t>
  </si>
  <si>
    <t>A PFI liability is recognised at the same time as the PFI assets are recognised. It is initially measured at the inital value of the PFI asset it represents and is subsequently measured as a finance lease liability in accordance with IAS 17.</t>
  </si>
  <si>
    <t>Contracts for “Private Finance Initiative” assets include provision for the replacement and refurbishment of these assets. These "lifecycle replacement" costs form part of the Unitary Payment. That payment is determined by the contract, and is independent of the actual cost of works to the contractor. The lifecycle maintenance costs are capitalised where they meet the Trust's criteria for capitalisation.  The element of the annual unitary payment allocated to lifecycle replacement is pre-determined for each year of the contract from the operator’s planned programme of lifecycle replacement. Where the lifecycle component is provided earlier or later than expected, a short-term accrual or prepayment is recognised respectively</t>
  </si>
  <si>
    <t>Financial assets are initially recognised at fair value and that value is subsequently reviewed for impairment.  An impairment occurs where there is evidence that the present value of future cashflows is less than the carrying value. Where this is the case the asset is reduced by the value of the impairment and the reduction in value charged to the Statement of Comprehensive Income</t>
  </si>
  <si>
    <t xml:space="preserve">Public dividend capital represents taxpayers’ equity in the NHS trust. At any time the Secretary of State can issue new PDC to, and require repayments of PDC from, the trust. PDC is recorded at the value received. As PDC is issued under legislation rather than under contract, it is not treated as an equity financial instrument. An annual charge, reflecting the cost of capital utilised by the trust, is payable to the Department of Health as public dividend capital dividend. The charge is calculated at the real rate set by HM Treasury (currently 3.5%) on the average carrying amount of all assets less liabilities, except for donated assets and cash balances with the Office of the Paymaster General. The average carrying amount of assets is calculated as a simple average of opening and closing relevant net assets. </t>
  </si>
  <si>
    <t xml:space="preserve">The Department of Health and Social Care has directed that the financial statements of the trust shall meet the accounting requirements of the Department of Health and Social Care Group Accounting Manual (GAM), which shall be agreed with HM Treasury. Consequently, the following financial statements have been prepared in accordance with the GAM 2018/19 issued by the Department of Health and Social Care. The accounting policies contained in the GAM follow International Financial Reporting Standards to the extent that they are meaningful and appropriate to the NHS, as determined by HM Treasury, which is advised by the Financial Reporting Advisory Board. Where the GAM permits a choice of accounting policy, the accounting policy that is judged to be most appropriate to the particular circumstances of the trust for the purpose of giving a true and fair view has been selected. The particular policies adopted are described below. These have been applied consistently in dealing with items considered material in relation to accounts. </t>
  </si>
  <si>
    <t xml:space="preserve">Donated and grant funded property, plant and equipment assets are capitalised at their current value on receipt which is generally the cost and are subsequently carried at current value in line with other property, plant and equipment. The donation/grant is credited to income at the same time, unless the donor has imposed a condition that the future economic benefits embodied in the grant are to be consumed in a manner specified by the donor, in which case, the donation/grant is deferred within liabilities and is carried forward to future financial years to the extent that the condition has not yet been met.
The donated and grant funded assets are subsequently accounted for in the same manner as other items of property, plant and equipment. </t>
  </si>
  <si>
    <t>Financial assets are classified into the following categories: financial assets at fair value through profit and loss; held to maturity investments; available for sale financial assets, and loans and receivables. The classification depends on the nature and purpose of the financial assets and is determined at the time of initial recognition.</t>
  </si>
  <si>
    <t>Hide?</t>
  </si>
  <si>
    <t>The carrying value of short term trade and other payables is a reasonable approximation to fair value,  all trade payables are considered to be short term.  The nature of obligations relating to Finance lease, PFI agreements and other borrowings are that they are arms length transaction with values determined by contract. There is no significant difference between the carrying value and the fair value of these liabilities.</t>
  </si>
  <si>
    <t xml:space="preserve">Of which payables from NHS and DHSC group bodies (all current) </t>
  </si>
  <si>
    <t xml:space="preserve">All inventories were valued in accordance with the Trusts accounting policy (note 1), none were held at fair value less costs to sale.    </t>
  </si>
  <si>
    <t>Remove I&amp;E impact of donations</t>
  </si>
  <si>
    <t xml:space="preserve">The Trust has an investment in ordinary shares in Vertual Ltd, a company registered in the United Kingdom. The Trust holds 15% of the company's shares, valued at £270,753. This has not been included in the accounts. The company's main activity is the sale of hardware and software used to train Radiotherapists. Mr D Haire sits on the board on behalf of the Trust. </t>
  </si>
  <si>
    <t>Following adoption of IFRS 9  on 1 April 2018, loans are measured at amortised cost. Any accrued interest is now included in the carrying value of the loan within note 24. IFRS 9 is applied without restatement therefore comparatives have not been reinstated</t>
  </si>
  <si>
    <t xml:space="preserve">Hull University Teaching Hospitals NHS Trust's annual report and accounts have been prepared on a going concern basis. Non-trading entities in the public sector are assumed to be going concerns where the continued provision of a service in the future is anticipated, as evidenced by inclusion of financial provision for that service in published documents. </t>
  </si>
  <si>
    <t>Income is accounted for applying the accruals convention</t>
  </si>
  <si>
    <t>The main source of income for the Trust is from commissioners in respect of healthcare services provided under local agreements. Income which is the subject of a contract or local agreement is recognised in the period in which the contractual performance obligations are met. Performance obligations can be performed over time or at a point in time</t>
  </si>
  <si>
    <t xml:space="preserve">Revenue relating to patient care spells that are part-completed at the year end are apportioned across the financial years on the basis of length of stay at the end of the reporting period compared to expected total length of stay. The Trust receives income under the NHS Injury Cost Recovery Scheme, designed to reclaim the cost of treating injured individuals to whom personal injury compensation has subsequently been paid e.g. by an insurer. The Trust recognises the income when it receives notification from the Department of Work and Pension's Compensation Recovery Unit that the individual has lodged a compensation claim. The income is measured at the agreed tariff for the treatments provided to the injured individual, less a provision for unsuccessful compensation claims and doubtful debts.
</t>
  </si>
  <si>
    <t xml:space="preserve">Where non contract income is received for a specific activity which is to be delivered in the following financial year, that income is deferred. </t>
  </si>
  <si>
    <t>The value of the benefit received when accessing funds from the the Government's apprenticeship service is recognised as income at the point of receipt of the training service. Where these funds are paid directly to an accredited training provider, the corresponding notional expense is also recognised at the point of recognition for the benefit.</t>
  </si>
  <si>
    <t>Investments are property that is held solely to earn a return, is not used in the delivery of operational services and is not occupied by staff. Assets are only recognised as Investments where it is probable that’s future economic benefits will flow to the Trust as a result of the investment and the cost can be easily measured. They  are initially measured at cost and uplifted to fair value as appropriate to "highest and best cost" in accordance with IAS40. In determining a fair value we take account of a professional valuation or use actual values, for example where a formal offer to purchase has been made.</t>
  </si>
  <si>
    <t>Where subsequent expenditure enhances an asset beyond its original specification, the directly attributable cost is capitalised. Where subsequent expenditure restores the asset to its original specification, and it is probable that future economic benefits or service potential will flow to the Trust, the expenditure is capitalised and any existing carrying value of the item replaced is written-out and charged to operating expenses. Other expenditure that does not generate additional future economic benefits or service potential, such as repairs and maintenance, is charged to operating expenses in the period in which it occurs</t>
  </si>
  <si>
    <t xml:space="preserve">Property, plant, and equipment is depreciated at rates calculated to write them down to estimated residual value on a straight-line basis over their estimated useful lives in a manner that reflects the consumption of economic benefits or service potential of the assets. Depreciation is charged quarterly, commencing in the quarter following the period in which the asset is brought into use. Useful lives are allocated on a per asset basis, within the following parameters, are subject to annual review and reflect the period over which the NHS expects to obtain economic benefits or service potential:
</t>
  </si>
  <si>
    <t>The HM Treasury FReM does not require the following Standards and Interpretations to be applied in 2018-19. These standards are still subject to HM Treasury FReM interpretation, with IFRS 9 and IFRS 15 being for implementation in 2018-19, and the government implementation date for IFRS 16 still subject to HM Treasury consideration.</t>
  </si>
  <si>
    <t xml:space="preserve">IFRS 14 Regulatory Deferral Accounts - Applies to first time adopters of IFRS after 1 January 2016. Therefore not applicable to DHSC group bodies 
</t>
  </si>
  <si>
    <t>IFRS 16 Leases – Application required for accounting periods beginning on or after 1 January 2019, but not yet adopted by the FReM: early adoption is not therefore permitted..</t>
  </si>
  <si>
    <t xml:space="preserve">IFRS 17 Insurance Contracts - Application required for accounting periods beginning on or after 1 January 2021, but not yet adopted by the FReM: early adoption is not therefore permitted. 
</t>
  </si>
  <si>
    <t xml:space="preserve">IFRIC 23 Uncertainty over Income Tax Treatments - Application required for accounting periods beginning on or after 1 January 2019. </t>
  </si>
  <si>
    <t>Note 33.1 Initial application of IFRS 9</t>
  </si>
  <si>
    <t xml:space="preserve">£320.60 was paid to suppliers in respect of claims under this legislation (2017/18 £2,111)       
</t>
  </si>
  <si>
    <t xml:space="preserve">The valuation of our  buildings has been assessed by taking account of their current condition and agreed obsolescence, and assumes that the buildings will be maintained to their current condition over their remaining lives. The valuation has been undertaken on a modern equivalent asset basis and reflects the current service potential of the Trust. </t>
  </si>
  <si>
    <r>
      <t>The Hull and East Yorkshire Hospitals NHS Trust General Charitable Trust provided donations of medical and general equipment, including the provision of a Helicopter landing pad, to the Trust to a value of</t>
    </r>
    <r>
      <rPr>
        <sz val="9"/>
        <color rgb="FFFF0000"/>
        <rFont val="Arial"/>
        <family val="2"/>
      </rPr>
      <t xml:space="preserve"> </t>
    </r>
    <r>
      <rPr>
        <sz val="9"/>
        <rFont val="Arial"/>
        <family val="2"/>
      </rPr>
      <t>£651,088 (2017/18 - £83,126). There were no restrictions in respect of any of the donations.</t>
    </r>
  </si>
  <si>
    <t xml:space="preserve">The Trust has an investment in ordinary shares in Vertual Ltd, a company registered in the United Kingdom. The Trust holds 15% of the company's shares, valued at £338,473. This has not been included in the accounts. The company's main activity is the sale of hardware and software used to train Radiotherapists. Mr D Haire sits on the board  on behalf of the Trust. </t>
  </si>
  <si>
    <t>All operating income relates to continuing operations</t>
  </si>
  <si>
    <t xml:space="preserve">Finance income consists of bank interest earned on short term deposits of surplus funds. During the year £123,934 was earned (2017/18 £44,393)       </t>
  </si>
  <si>
    <t>-</t>
  </si>
  <si>
    <t>Trade receivables</t>
  </si>
  <si>
    <r>
      <t xml:space="preserve">The Trust operates a staff lottery and the cash balance owed to the lottery of £28,599 (2017/18 - </t>
    </r>
    <r>
      <rPr>
        <sz val="9"/>
        <rFont val="Arial"/>
        <family val="2"/>
      </rPr>
      <t xml:space="preserve"> £22,196)  h</t>
    </r>
    <r>
      <rPr>
        <sz val="9"/>
        <color theme="1"/>
        <rFont val="Arial"/>
        <family val="2"/>
      </rPr>
      <t>as notbeen  included in the Trusts financial statements</t>
    </r>
  </si>
  <si>
    <t>Included in the figures above are outstanding pension contributions of £4.49m (2017/18 £4.33m). All payables are due within one year</t>
  </si>
  <si>
    <t>Other financial liabilities of £1.193m consist entirely of deferred income (2017/18 £0.727m)</t>
  </si>
  <si>
    <t>Adjusted financial performance excluding Performance &amp; sustainability funding</t>
  </si>
  <si>
    <t>Surplus for the year</t>
  </si>
  <si>
    <t>Deficit for the year</t>
  </si>
  <si>
    <t>PDC dividend paid</t>
  </si>
  <si>
    <t>NHS Foundation Trusts</t>
  </si>
  <si>
    <t>NHS Trusts</t>
  </si>
  <si>
    <t xml:space="preserve">   Department of Health and Social Care</t>
  </si>
  <si>
    <t>The limitation on Auditors liability is £1m for both 2017/18 and 2018/19</t>
  </si>
  <si>
    <t>The Trust has contractual capital commitments of £1m (2017/18 £0.315m) in respect of equipment purchases.</t>
  </si>
  <si>
    <t>In preparing the financial statements, the directors have considered the Trust’s overall financial position and expectation of future financial support. There is an underlying financial deficit of £24.7m as at 31 March 2019. There is a commitment to delivering a £19.1m efficiency programme in 2019/20, which equates to 3.4% of operating costs. However, as the Trust delivered £14.4m out of a planned efficiency saving programme of £19.9m in 2018/19 and less in 2017/18 there are risks to delivery which requires System level collaboration.</t>
  </si>
  <si>
    <t>The Trust has submitted a financial plan for 2019/20 to NHS Improvement, which delivers a £10.4m surplus (including Provider Sustainability Fund (PSF) of £9m and the allocation of central funding for Marginal Rate for Emergency Treatment (MRET) of £2m.  This plan assumes delivery of a £19.1m efficiency savings programme, which has been agreed by the Trust Board and is embedded in the budget. The Trust Board has recognised that this is a highly demanding plan, and dependent upon the full delivery of cost reduction targets, realisation of recurrent savings, and the adherence to agreed budgets.</t>
  </si>
  <si>
    <t>The 2019/20 planned surplus would enable the Trust to repay a revenue loan of £5m which is due for repayment in 2019/20.  In addition, the Trust is due to repay a further loan of £13.68m which, following extension of 1 year, now matures in February 2020.  To make this repayment in full, the Trust will require a new loan of £9m and this anticipated borrowing is reflected in the Trust's fnancial plans. The Trust intends to continue to monitor and assess its financial performance and will adjust its working capital and borrowing requirements where necessary.</t>
  </si>
  <si>
    <t>We paid interest to our suppliers of £320.60 under The late Payment of Commercial Debt ( interest) Act 1998, (17/18 £2,111.22)</t>
  </si>
  <si>
    <t>Adjusted financial performance surplus (control total basis)</t>
  </si>
  <si>
    <t>Adjustnments to performance</t>
  </si>
  <si>
    <t>Breakeven duty financial performance surplus</t>
  </si>
  <si>
    <t>Past and present employees are covered by the provisions of the two NHS Pension Schemes.  Details of the benefits payable and rules of the Schemes can be found on the NHS Pensions website at www.nhsbsa.nhs.uk/pensions.  Both are unfunded defined benefit schemes that cover NHS employers, GP practices and other bodies, allowed under the direction of the Secretary of State for Health in England and Wales. They are not designed to be run in a way that would enable NHS bodies to identify their share of the underlying scheme assets and liabilities. Therefore, each scheme is accounted for as if it were a defined contribution scheme: the cost to the NHS body of participating in each scheme is taken as equal to the contributions payable to that scheme for the accounting period.  </t>
  </si>
  <si>
    <t>In order that the defined benefit obligations recognised in the financial statements do not differ materially from those that would be determined at the reporting date by a formal actuarial valuation, the FReM requires that “the period between formal valuations shall be four years, with approximate assessments in intervening years”. An outline of these follows</t>
  </si>
  <si>
    <t>The latest assessment of the liabilities of the scheme is contained in the report of the scheme actuary, which forms part of the annual NHS Pension Scheme Accounts. These accounts can be viewed on the NHS Pensions website and are published annually. Copies can also be obtained from The Stationery Office.</t>
  </si>
  <si>
    <t xml:space="preserve">The latest actuarial valuation undertaken for the NHS Pension Scheme was completed as at 31 March 2016. The results of this valuation set the employer contribution rate payable from April 2019. The Department of Health and Social Care have recently laid Scheme Regulations confirming that the employer contribution rate will increase to 20.6% of pensionable pay from this date. </t>
  </si>
  <si>
    <t xml:space="preserve">The 2016 funding valuation was also expected to test the cost of the Scheme relative to the employer cost cap set following the 2012 valuation. Following a judgment from the Court of Appeal in December 2018 Government announced a pause to that part of the valuation process pending conclusion of the continuing legal process. </t>
  </si>
  <si>
    <t xml:space="preserve">The alternative pension scheme is a defined contribution scheme operated  by the National Employment Savings Trust (NEST). Employee and employer contribution rates are a combined minimum of 8%(with a minimum 3% being contributed by the Trust. </t>
  </si>
  <si>
    <t>During the year none of the Board Members or key management staff or parties related to them has undertaken any material transactions with Hull University Teaching Hospitals NHS Trust.</t>
  </si>
  <si>
    <t>The Department of Health and Social Care is also regarded as a related party. During the year Hull University Teaching Hospitals NHS Trust has had a significant number of material transactions with the Department, and with other entities for which the Department is regarded as the parent Department. These entities are listed below:</t>
  </si>
  <si>
    <t>All financial liabilities are held at amortised cost.</t>
  </si>
  <si>
    <t>All financial assets are held at amortised cost</t>
  </si>
  <si>
    <t>The Trust’s operating costs are incurred under contracts with Clinical Commissioning Groups, which are financed from resources voted annually by Parliament. The Trust funds its capital expenditure from funds obtained within its  borrowing limit. The Trust is not, therefore, exposed to significant liquidity risks.</t>
  </si>
  <si>
    <t>The Trust has only one finance lease, and also accounts for its 3 PFI facilities as finance leases. Details of PFI schemes are set out in note 29 to these accounts.</t>
  </si>
  <si>
    <t>Allowances 1 April 2017</t>
  </si>
  <si>
    <t>Changes in methodology</t>
  </si>
  <si>
    <t>Total Allowances</t>
  </si>
  <si>
    <t>All trade payables are due within one year</t>
  </si>
  <si>
    <t>Leeds Teaching Hospitals Nhs Trust</t>
  </si>
  <si>
    <t>Contract receivables</t>
  </si>
  <si>
    <t>Accrued income</t>
  </si>
  <si>
    <t>Other losses</t>
  </si>
  <si>
    <t>Operating surplus</t>
  </si>
  <si>
    <t>Surplus/ ( deficit) for the year</t>
  </si>
  <si>
    <t xml:space="preserve">Operating surplus </t>
  </si>
  <si>
    <t>(Increase)  in receivables and other assets</t>
  </si>
  <si>
    <t>Net cash generated from  operating activities</t>
  </si>
  <si>
    <t>Fair value losses on investment properties</t>
  </si>
  <si>
    <t>Buildings</t>
  </si>
  <si>
    <t>Derecognition</t>
  </si>
  <si>
    <t>Interest charge arising in year</t>
  </si>
  <si>
    <t>Impact of applying IFRS 9</t>
  </si>
  <si>
    <t>Buildings (incl. internal fixtures &amp; fittings) 1-73 years</t>
  </si>
  <si>
    <r>
      <t>Buildings currently provided by private finance initiative have been brought onto the Statement of Financial Position where they fulfil the criteria of a finance lease as set out in IAS 17, and IFRIC 12. These buildings have been brought on to the Statement of Financial Position at a fair value determined by the independent valuers, Cushman and Wakefield. The Fair value is determined as set out in no</t>
    </r>
    <r>
      <rPr>
        <sz val="9"/>
        <rFont val="Arial"/>
        <family val="2"/>
      </rPr>
      <t>te 1.8.2.</t>
    </r>
    <r>
      <rPr>
        <sz val="9"/>
        <color theme="1"/>
        <rFont val="Arial"/>
        <family val="2"/>
      </rPr>
      <t xml:space="preserve"> The buildings are subject to a depreciation charge on the same basis as non PFI funded assets. The annual unitary payment is separated into the following component parts, using appropriate estimation techniques where necessary:</t>
    </r>
  </si>
  <si>
    <t xml:space="preserve">Surplus </t>
  </si>
  <si>
    <t>Increase in other provisions</t>
  </si>
  <si>
    <t xml:space="preserve">During 2018/19 there were 4 early retirements from the trust agreed on the grounds of ill-health (11 in the year ended 31 March 2018).  The estimated additional pension liabilities of these ill-health retirements is £139k (£699k in 2017/18).  </t>
  </si>
  <si>
    <t>Main finance costs on PFI scheme obligations</t>
  </si>
  <si>
    <t>Contingent finance costs on PFI scheme obligations</t>
  </si>
  <si>
    <t>Investment assets comprise of land adjacent to the Castle Hill Hospital site. Part of the land was sold in 2018/19 and the remaining land will be sold over the next 2 years. The land is currently valued at £6.050m (2017/18 £8.528m).</t>
  </si>
  <si>
    <t>Accrued interest on loans</t>
  </si>
  <si>
    <r>
      <t>At 31 March 2019 the NHS Resolution held provisions in respect of the Trust's clinical negligence cl</t>
    </r>
    <r>
      <rPr>
        <sz val="9"/>
        <rFont val="Arial"/>
        <family val="2"/>
      </rPr>
      <t>aims of £236m (2017/18 - £203m)</t>
    </r>
  </si>
  <si>
    <t>There are no contiongent assets</t>
  </si>
  <si>
    <t>Commitments in respect of off-SoFP PFI arrangements:</t>
  </si>
  <si>
    <t>Obligations under PFI</t>
  </si>
  <si>
    <t>NHS Blood And Transplant</t>
  </si>
  <si>
    <t>NHS Buisness Service Authority</t>
  </si>
  <si>
    <t>NHS Business Services Authority Pensions Division</t>
  </si>
  <si>
    <t>Humber NHS Foundation Trust</t>
  </si>
  <si>
    <t>North Lincolnshire And Goole NHS Foundation Trust</t>
  </si>
  <si>
    <t xml:space="preserve">NHS Litigation Authority </t>
  </si>
  <si>
    <t>NHS Property Services Ltd</t>
  </si>
  <si>
    <t>NHS Hull CCG</t>
  </si>
  <si>
    <t>Underspend against EFL</t>
  </si>
  <si>
    <t>Underspend against CRL</t>
  </si>
  <si>
    <t>The notes on pages 5 to 43 form part of these accounts.</t>
  </si>
  <si>
    <t>The NHS Resolution (NHSR) operates a risk pooling scheme under which the NHS Trust pays an annual contribution to NHSR which in return settles all clinical negligence claims. Although the NHSR is administratively responsible for all clinical negligence cases the legal liability remains with the Trust. The total value of clinical negligence provisions carried by NHSR on behalf of the Trust is disclosed at note 26.</t>
  </si>
  <si>
    <t>The Trust participates in the Property Expenses Scheme and the Liabilities to Third Parties Scheme. Both are risk pooling schemes under which the Trust pays an annual contribution to the NHS Resolution and, in return, receives assistance with the costs of claims arising. The annual membership contributions, and any 'excesses' payable in respect of particular claims are charged to operating expenses as and when they become due.</t>
  </si>
  <si>
    <t>Land and buildings were valued as at 31 March 2019 to ensure they were carried on the Statement of Financial Position at current value. The valuation was undertaken by independent RICS qualified valuers Cushman and Wakefield and the valuation was undertaken in line with RICS standards.</t>
  </si>
  <si>
    <t xml:space="preserve">Since the adoption of IFRS 15 in April 2018, trade receivables and accrued income have been reclassified as contract assets or other types of receivable. In accordance with IFRS 15 the comparative figures for 2017/18 have not been reclassified. </t>
  </si>
  <si>
    <t xml:space="preserve">   NHS  Other</t>
  </si>
  <si>
    <t>Provider sustainability / sustainability and transformation fund income (PSF / STF) *</t>
  </si>
  <si>
    <t>* The Trust recevied core PSF of £10,698 and as a result of the Trust exceeding it's financial targets, recevied Incentive PSF of £16,494.</t>
  </si>
  <si>
    <t>With effect from 1st March, 2019 the Trust changed it's names from Hull and East</t>
  </si>
  <si>
    <t xml:space="preserve">Yorkshire Hospitals NHS Trust to Hull University Teaching Hospitals NHS Trust. </t>
  </si>
  <si>
    <t>The name change was made in accordance with the Secretary of State for Health and</t>
  </si>
  <si>
    <t xml:space="preserve">Social Care section 25 of the National Health Service Act 2006 (a) under </t>
  </si>
  <si>
    <t>Statutory Instrument  No.346.</t>
  </si>
  <si>
    <t>Although these factors represent some uncertainty that may cast doubt about the Trust’s ability to continue as a going concern, the Directors, having made appropriate enquiries, have reasonable expectations that the Trust will have adequate resources to continue in operational existence for the foreseeable future.  As directed by the 2018/19 Department of Health Group Accounting Manual the Directors have prepared the financial statements on a going concern basis as they consider that the services currently provided by the Trust will continue to be provided in the foreseeable future. On this basis, the Trust has adopted the going concern basis for preparing the financial statements and has not included the adjustments that would result if it was unable to continue as a going concern”.</t>
  </si>
  <si>
    <t>The Gross cost of property plant and equipment with a Nil Net book value is £12.119m</t>
  </si>
  <si>
    <t>- provisions needed and the amounts of these (note 26)</t>
  </si>
  <si>
    <t>- the current value of future costs under PFI and other finance lease contracts (note 29)</t>
  </si>
  <si>
    <t>The PFI assets are recognised as property, plant and equipment, when they come into use. The assets are measured initially at fair value in accordance with the principles of IAS 17. Subsequently, the assets are measured at current value in existing use and are subject to regular revaluations as set out in 1.8.2.</t>
  </si>
  <si>
    <t>Assets belonging to third parties (such as money held on behalf of patients) are not recognised in the accounts since the Trust has no beneficial interest in them. Details of third party assets are given in Note 21.1 to the accounts. The Trust benefits from Charitable donations that are held separately to the Trusts own finances.  The Trust has opted not to consolidate its charitable funds until such time that they are material to the accounts.</t>
  </si>
  <si>
    <t>Intangible assets are non-monetary assets without physical substance which are capable of sale separately from the rest of the trust’s business or assets or which arise from contractual or other legal rights. They are recognised only when it is probable that future economic benefits will flow to, or service potential be provided to, the trust; where the cost of the asset can be measured reliably, and where the cost is at least £5,000. Assets lives vary from 5-12 years.</t>
  </si>
  <si>
    <t>The total gross book value of intangible assets with a nil net value is £2.132m (2017/18 £2.33m ).</t>
  </si>
  <si>
    <t>All receivables within the DHSC group are current (2018/19 -  £36.262m, 2017/18 - £20.315m)</t>
  </si>
  <si>
    <t>Future PFI net of VAT - Valuation services are provided to the Trust by Cushman &amp; Wakefield, a property services firm whose valuers are registered with the Royal Institute of Chartered Surveyors (RICS), the regulatory body for the valuation services industry. Following a full valuation of land and buildings as at 1 April 2016 and interim valuations which were reflected in the 2017-18 accounts, Cushman &amp; Wakefield have provided a desktop valuation of these assets as at 31 March 2019 to ensure that the carrying amount of these assets does not differ materially from their fair value. These valuations reflect the current economic conditions and the location factor in and around Hull. The valuation for PFI buildings excludes VAT on the basis that the replacement of these assets would be carried out under a special purchase vehicle where VAT would be recoverable</t>
  </si>
  <si>
    <t>Revaluation</t>
  </si>
  <si>
    <t>Reversals of Allowances</t>
  </si>
  <si>
    <t>Impairments of property plant and equipment</t>
  </si>
  <si>
    <t>The outcome of the valuation was a net decrease in the value of our land and buildings of £8m. The value of our land fell by £1.9m and the value of some of our buildings fell by £12.2m, with other buildings enjoying an increase of £6.1m. Of the net reduction in value a total of £1.6m was taken to the Statement of Comprehensive Income and  £6.4m was taken to the revaluation reserve.</t>
  </si>
  <si>
    <t xml:space="preserve">   Add back all I&amp;E impairments </t>
  </si>
  <si>
    <t>28 May 2019</t>
  </si>
  <si>
    <t>Impairments charged to revenue</t>
  </si>
  <si>
    <t>Contract Receivables</t>
  </si>
  <si>
    <t>I&amp;E Impairments</t>
  </si>
  <si>
    <t>Lee Bond</t>
  </si>
  <si>
    <r>
      <t>Version:</t>
    </r>
    <r>
      <rPr>
        <b/>
        <sz val="12"/>
        <color theme="3" tint="0.39997558519241921"/>
        <rFont val="Arial"/>
        <family val="2"/>
      </rPr>
      <t xml:space="preserve"> 1.0</t>
    </r>
    <r>
      <rPr>
        <b/>
        <sz val="12"/>
        <color theme="4"/>
        <rFont val="Arial"/>
        <family val="2"/>
      </rPr>
      <t xml:space="preserve"> (issued March 2019)</t>
    </r>
  </si>
  <si>
    <r>
      <t xml:space="preserve">The accounts prepared by NHS trusts and NHS foundation trusts should comply with the Department of Health and Social Care's Group Accounting Manual (GAM) (and NHS Improvement's </t>
    </r>
    <r>
      <rPr>
        <i/>
        <sz val="11"/>
        <color theme="1"/>
        <rFont val="Arial"/>
        <family val="2"/>
      </rPr>
      <t xml:space="preserve">NHS Foundation Trust Annual Reporting Manual </t>
    </r>
    <r>
      <rPr>
        <sz val="11"/>
        <color theme="1"/>
        <rFont val="Arial"/>
        <family val="2"/>
      </rPr>
      <t>(FT ARM) for foundation trusts). This template has been developed to assist trusts to meet these requirements. NHS Improvement has no current intention of mandating use of this accounts template in future periods.</t>
    </r>
  </si>
  <si>
    <r>
      <t xml:space="preserve">The requirements for a provider's accounts are set out in chapter 4 of the GAM. This optional accounts template does </t>
    </r>
    <r>
      <rPr>
        <b/>
        <sz val="11"/>
        <color theme="1"/>
        <rFont val="Arial"/>
        <family val="2"/>
      </rPr>
      <t>not</t>
    </r>
    <r>
      <rPr>
        <sz val="11"/>
        <color theme="1"/>
        <rFont val="Arial"/>
        <family val="2"/>
      </rPr>
      <t xml:space="preserve"> form part of Monitor's accounts direction to NHS foundation trusts or DHSC's direction to NHS Trusts. If at any point this template appears inconsistent with the GAM, the GAM is the primary source of direction. Any such inconsistency would, however, be unintentional as the purpose of this template is to assist providers in complying with the GAM when determining the format of their accounts.</t>
    </r>
  </si>
  <si>
    <r>
      <rPr>
        <b/>
        <sz val="11"/>
        <color theme="1"/>
        <rFont val="Arial"/>
        <family val="2"/>
      </rPr>
      <t>Trust accounts</t>
    </r>
    <r>
      <rPr>
        <sz val="11"/>
        <color theme="1"/>
        <rFont val="Arial"/>
        <family val="2"/>
      </rPr>
      <t>: This is a single entity version of the accounts template, with the figures linked to the totals in the TAC schedules.</t>
    </r>
  </si>
  <si>
    <r>
      <rPr>
        <b/>
        <sz val="11"/>
        <color theme="1"/>
        <rFont val="Arial"/>
        <family val="2"/>
      </rPr>
      <t>Group accounts</t>
    </r>
    <r>
      <rPr>
        <sz val="11"/>
        <color theme="1"/>
        <rFont val="Arial"/>
        <family val="2"/>
      </rPr>
      <t>: This version should be used by trusts preparing group accounts. The Group numbers are linked to the total column of the TAC schedules. The Trust numbers are not populated, and you can link these either to your own working papers or to the optional 'Trust' columns in the TAC schedules. Alternatively you may have your own working papers for the consolidation and replace the source formulas for both the Group and Trust numbers.</t>
    </r>
  </si>
  <si>
    <r>
      <t>For notes where Group and Trust should be included, paragraph 5.10 of the GAM states "w</t>
    </r>
    <r>
      <rPr>
        <i/>
        <sz val="11"/>
        <color theme="1"/>
        <rFont val="Arial"/>
        <family val="2"/>
      </rPr>
      <t>here the entity determines that the difference between the ‘Group’ and ‘Parent Entity’ numbers is immaterial for a particular note, the ‘Parent Entity’ version of that note may be omitted from the accounts. The omission and the extent of the immaterial differences must be explained.</t>
    </r>
    <r>
      <rPr>
        <sz val="11"/>
        <color theme="1"/>
        <rFont val="Arial"/>
        <family val="2"/>
      </rPr>
      <t>" This template has been prepared with Group and Trust versions of all balance sheet notes, which the user may wish to amend.</t>
    </r>
  </si>
  <si>
    <r>
      <t xml:space="preserve">The accounts template is linked to an TAC schedules within the PFR file. Cells linked to the TAC schedules contain defined file paths which are easily updated by the trust if you choose to map cells differently.  The file as issued contains links directed at dummy TAC schedules held by NHS Improvement.  </t>
    </r>
    <r>
      <rPr>
        <b/>
        <sz val="11"/>
        <color theme="1"/>
        <rFont val="Arial"/>
        <family val="2"/>
      </rPr>
      <t>When opening the file for the first time, you should select 'do not update links' when prompted.</t>
    </r>
  </si>
  <si>
    <r>
      <t xml:space="preserve">[Red text in square brackets indicates instructions and guidance which should be reviewed / addressed and then deleted]
</t>
    </r>
    <r>
      <rPr>
        <sz val="11"/>
        <color rgb="FF0070C0"/>
        <rFont val="Arial"/>
        <family val="2"/>
      </rPr>
      <t>Blue text (within the New Standards tab only) respresents example disclosures which may be used by the provider is relevant.</t>
    </r>
  </si>
  <si>
    <r>
      <t xml:space="preserve">[Red text in square brackets indicates instructions and guidance which should be reviewed / addressed and then deleted]
</t>
    </r>
    <r>
      <rPr>
        <sz val="11"/>
        <color rgb="FF0070C0"/>
        <rFont val="Arial"/>
        <family val="2"/>
      </rPr>
      <t>Blue text respresents example accounting policies which will only be needed if particular circumstances apply materially to the Trust.</t>
    </r>
  </si>
  <si>
    <r>
      <t xml:space="preserve">There are currently no headers and footers set in the template. The Trust may wish to insert the name of the Trust into the header - this is not currently done because of limitations in Excel not making it simple to link this to a cell for the user to edit. If you wish to add headers of footers, highlight the desired worksheets and edit the header/footer tab in the Page Setup box, which is accessible from the Page Layout tab of the ribbon &gt; Margins &gt; Custom margins &gt; Header and footer tab. These options can be set for each tab individually, or for a collection of sheets at once if these tabs are selected when the Page Setup options are amended. Please note that if these settings are changed with multiple sheets selected, all of the settings in the dialog box are applied to the selected sheets - including page orientation. Therefore to assist the user if you wish to change headers/footers for multiple sheets, sheets that are set to landscape orientation are coloured </t>
    </r>
    <r>
      <rPr>
        <sz val="11"/>
        <color theme="3" tint="0.39997558519241921"/>
        <rFont val="Arial"/>
        <family val="2"/>
      </rPr>
      <t xml:space="preserve">light blue </t>
    </r>
    <r>
      <rPr>
        <sz val="11"/>
        <color theme="1"/>
        <rFont val="Arial"/>
        <family val="2"/>
      </rPr>
      <t>for ease of identification.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</si>
</sst>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43" formatCode="_-* #,##0.00_-;\-* #,##0.00_-;_-* &quot;-&quot;??_-;_-@_-"/>
    <numFmt numFmtId="164" formatCode="#,##0;[Red]\(#,##0\)"/>
    <numFmt numFmtId="165" formatCode="_-* #,##0_-;\-* #,##0_-;_-* &quot;-&quot;??_-;_-@_-"/>
    <numFmt numFmtId="166" formatCode="#,##0\ ;\(#,##0\);\-\ "/>
    <numFmt numFmtId="167" formatCode="0.0%;\(0.0%\)"/>
    <numFmt numFmtId="168" formatCode="#,##0;\(#,##0\)"/>
  </numFmts>
  <fonts count="57" x14ac:knownFonts="1">
    <font>
      <sz val="11"/>
      <color theme="1"/>
      <name val="Calibri"/>
      <family val="2"/>
      <scheme val="minor"/>
    </font>
    <font>
      <sz val="11"/>
      <color theme="1"/>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9"/>
      <name val="Arial"/>
      <family val="2"/>
    </font>
    <font>
      <sz val="9"/>
      <name val="Arial"/>
      <family val="2"/>
    </font>
    <font>
      <sz val="9"/>
      <color theme="1"/>
      <name val="Arial"/>
      <family val="2"/>
    </font>
    <font>
      <b/>
      <sz val="9"/>
      <color theme="1"/>
      <name val="Arial"/>
      <family val="2"/>
    </font>
    <font>
      <sz val="10"/>
      <color theme="1"/>
      <name val="Arial"/>
      <family val="2"/>
    </font>
    <font>
      <sz val="9"/>
      <color indexed="8"/>
      <name val="Arial"/>
      <family val="2"/>
    </font>
    <font>
      <b/>
      <sz val="9"/>
      <color indexed="8"/>
      <name val="Arial"/>
      <family val="2"/>
    </font>
    <font>
      <b/>
      <sz val="11"/>
      <color theme="1"/>
      <name val="Calibri"/>
      <family val="2"/>
      <scheme val="minor"/>
    </font>
    <font>
      <b/>
      <sz val="10"/>
      <color theme="1"/>
      <name val="Arial"/>
      <family val="2"/>
    </font>
    <font>
      <sz val="11"/>
      <color theme="0"/>
      <name val="Calibri"/>
      <family val="2"/>
      <scheme val="minor"/>
    </font>
    <font>
      <sz val="9"/>
      <color theme="0"/>
      <name val="Arial"/>
      <family val="2"/>
    </font>
    <font>
      <b/>
      <sz val="9"/>
      <color theme="0"/>
      <name val="Arial"/>
      <family val="2"/>
    </font>
    <font>
      <b/>
      <i/>
      <sz val="9"/>
      <color theme="1"/>
      <name val="Arial"/>
      <family val="2"/>
    </font>
    <font>
      <sz val="9"/>
      <color rgb="FFFF0000"/>
      <name val="Arial"/>
      <family val="2"/>
    </font>
    <font>
      <b/>
      <sz val="9"/>
      <color rgb="FFFF0000"/>
      <name val="Arial"/>
      <family val="2"/>
    </font>
    <font>
      <i/>
      <sz val="9"/>
      <color rgb="FFFF0000"/>
      <name val="Arial"/>
      <family val="2"/>
    </font>
    <font>
      <sz val="11"/>
      <color rgb="FFFF0000"/>
      <name val="Calibri"/>
      <family val="2"/>
      <scheme val="minor"/>
    </font>
    <font>
      <b/>
      <u/>
      <sz val="9"/>
      <color theme="1"/>
      <name val="Arial"/>
      <family val="2"/>
    </font>
    <font>
      <i/>
      <sz val="9"/>
      <color theme="0" tint="-0.499984740745262"/>
      <name val="Arial"/>
      <family val="2"/>
    </font>
    <font>
      <sz val="9"/>
      <color rgb="FF0000FF"/>
      <name val="Arial"/>
      <family val="2"/>
    </font>
    <font>
      <sz val="11"/>
      <name val="Calibri"/>
      <family val="2"/>
      <scheme val="minor"/>
    </font>
    <font>
      <b/>
      <u/>
      <sz val="9"/>
      <color rgb="FF0000FF"/>
      <name val="Arial"/>
      <family val="2"/>
    </font>
    <font>
      <b/>
      <sz val="9"/>
      <color rgb="FF0000FF"/>
      <name val="Arial"/>
      <family val="2"/>
    </font>
    <font>
      <b/>
      <i/>
      <sz val="11"/>
      <color rgb="FFFF0000"/>
      <name val="Arial"/>
      <family val="2"/>
    </font>
    <font>
      <b/>
      <sz val="13"/>
      <color theme="1"/>
      <name val="Arial"/>
      <family val="2"/>
    </font>
    <font>
      <sz val="18"/>
      <color theme="9" tint="-0.249977111117893"/>
      <name val="Calibri"/>
      <family val="2"/>
      <scheme val="minor"/>
    </font>
    <font>
      <b/>
      <i/>
      <sz val="9"/>
      <name val="Arial"/>
      <family val="2"/>
    </font>
    <font>
      <sz val="18"/>
      <color rgb="FF00B050"/>
      <name val="Calibri"/>
      <family val="2"/>
      <scheme val="minor"/>
    </font>
    <font>
      <sz val="11"/>
      <color rgb="FF00B050"/>
      <name val="Calibri"/>
      <family val="2"/>
      <scheme val="minor"/>
    </font>
    <font>
      <sz val="9"/>
      <color rgb="FF00B050"/>
      <name val="Arial"/>
      <family val="2"/>
    </font>
    <font>
      <sz val="9"/>
      <color rgb="FF0070C0"/>
      <name val="Arial"/>
      <family val="2"/>
    </font>
    <font>
      <b/>
      <sz val="9"/>
      <color rgb="FF0070C0"/>
      <name val="Arial"/>
      <family val="2"/>
    </font>
    <font>
      <b/>
      <i/>
      <sz val="9"/>
      <color rgb="FF0070C0"/>
      <name val="Arial"/>
      <family val="2"/>
    </font>
    <font>
      <b/>
      <sz val="14"/>
      <color rgb="FF00B050"/>
      <name val="Arial"/>
      <family val="2"/>
    </font>
    <font>
      <sz val="10"/>
      <name val="Arial"/>
      <family val="2"/>
    </font>
    <font>
      <sz val="10"/>
      <name val="Times New Roman"/>
      <family val="1"/>
    </font>
    <font>
      <sz val="10"/>
      <color rgb="FF000000"/>
      <name val="Arial"/>
      <family val="2"/>
    </font>
    <font>
      <b/>
      <sz val="10"/>
      <color rgb="FF000000"/>
      <name val="Arial"/>
      <family val="2"/>
    </font>
    <font>
      <b/>
      <sz val="10"/>
      <name val="Arial"/>
      <family val="2"/>
    </font>
    <font>
      <sz val="9"/>
      <color theme="1"/>
      <name val="Calibri"/>
      <family val="2"/>
      <scheme val="minor"/>
    </font>
    <font>
      <sz val="9"/>
      <color rgb="FF000000"/>
      <name val="Arial"/>
      <family val="2"/>
    </font>
    <font>
      <sz val="11"/>
      <color rgb="FFFF0000"/>
      <name val="Arial"/>
      <family val="2"/>
    </font>
    <font>
      <b/>
      <sz val="11"/>
      <color theme="1"/>
      <name val="Arial"/>
      <family val="2"/>
    </font>
    <font>
      <b/>
      <sz val="18"/>
      <color theme="4"/>
      <name val="Arial"/>
      <family val="2"/>
    </font>
    <font>
      <b/>
      <sz val="12"/>
      <color theme="4"/>
      <name val="Arial"/>
      <family val="2"/>
    </font>
    <font>
      <b/>
      <sz val="12"/>
      <color theme="3" tint="0.39997558519241921"/>
      <name val="Arial"/>
      <family val="2"/>
    </font>
    <font>
      <b/>
      <sz val="12"/>
      <color theme="1"/>
      <name val="Arial"/>
      <family val="2"/>
    </font>
    <font>
      <i/>
      <sz val="11"/>
      <color theme="1"/>
      <name val="Arial"/>
      <family val="2"/>
    </font>
    <font>
      <sz val="11"/>
      <color rgb="FF0070C0"/>
      <name val="Arial"/>
      <family val="2"/>
    </font>
    <font>
      <sz val="11"/>
      <name val="Arial"/>
      <family val="2"/>
    </font>
    <font>
      <sz val="11"/>
      <color theme="3" tint="0.39997558519241921"/>
      <name val="Arial"/>
      <family val="2"/>
    </font>
  </fonts>
  <fills count="10">
    <fill>
      <patternFill patternType="none"/>
    </fill>
    <fill>
      <patternFill patternType="gray125"/>
    </fill>
    <fill>
      <patternFill patternType="solid">
        <fgColor theme="4"/>
        <bgColor theme="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rgb="FF00FFFF"/>
        <bgColor indexed="64"/>
      </patternFill>
    </fill>
    <fill>
      <patternFill patternType="solid">
        <fgColor rgb="FFFFC000"/>
        <bgColor indexed="64"/>
      </patternFill>
    </fill>
    <fill>
      <patternFill patternType="solid">
        <fgColor indexed="9"/>
        <bgColor indexed="64"/>
      </patternFill>
    </fill>
    <fill>
      <patternFill patternType="solid">
        <fgColor rgb="FFFFFFFF"/>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medium">
        <color indexed="64"/>
      </left>
      <right style="medium">
        <color indexed="64"/>
      </right>
      <top style="medium">
        <color indexed="64"/>
      </top>
      <bottom style="medium">
        <color indexed="64"/>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bottom style="double">
        <color indexed="64"/>
      </bottom>
      <diagonal/>
    </border>
  </borders>
  <cellStyleXfs count="19">
    <xf numFmtId="0" fontId="0" fillId="0" borderId="0"/>
    <xf numFmtId="43" fontId="2" fillId="0" borderId="0" applyFon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166" fontId="9" fillId="0" borderId="11">
      <alignment horizontal="right"/>
    </xf>
    <xf numFmtId="166" fontId="9" fillId="0" borderId="10">
      <alignment horizontal="right"/>
    </xf>
    <xf numFmtId="0" fontId="8" fillId="0" borderId="0">
      <alignment wrapText="1"/>
    </xf>
    <xf numFmtId="0" fontId="9" fillId="0" borderId="0">
      <alignment wrapText="1"/>
    </xf>
    <xf numFmtId="166" fontId="8" fillId="0" borderId="0">
      <alignment horizontal="right"/>
    </xf>
    <xf numFmtId="166" fontId="9" fillId="0" borderId="0">
      <alignment horizontal="right"/>
    </xf>
    <xf numFmtId="167" fontId="8" fillId="0" borderId="10">
      <alignment horizontal="right"/>
    </xf>
    <xf numFmtId="168" fontId="41" fillId="0" borderId="0"/>
    <xf numFmtId="0" fontId="40" fillId="0" borderId="0"/>
    <xf numFmtId="164" fontId="42" fillId="0" borderId="16">
      <alignment vertical="center"/>
    </xf>
    <xf numFmtId="164" fontId="43" fillId="0" borderId="17">
      <alignment horizontal="right" vertical="center"/>
    </xf>
    <xf numFmtId="0" fontId="40" fillId="0" borderId="0"/>
    <xf numFmtId="0" fontId="42" fillId="0" borderId="0"/>
  </cellStyleXfs>
  <cellXfs count="993">
    <xf numFmtId="0" fontId="0" fillId="0" borderId="0" xfId="0"/>
    <xf numFmtId="43" fontId="8" fillId="0" borderId="0" xfId="1" applyFont="1"/>
    <xf numFmtId="0" fontId="8" fillId="0" borderId="0" xfId="0" applyFont="1" applyBorder="1"/>
    <xf numFmtId="0" fontId="8" fillId="0" borderId="0" xfId="0" applyFont="1"/>
    <xf numFmtId="0" fontId="10" fillId="0" borderId="0" xfId="0" applyFont="1" applyAlignment="1">
      <alignment horizontal="center"/>
    </xf>
    <xf numFmtId="0" fontId="10" fillId="0" borderId="0" xfId="0" applyFont="1"/>
    <xf numFmtId="0" fontId="9" fillId="0" borderId="0" xfId="0" applyFont="1"/>
    <xf numFmtId="0" fontId="9" fillId="0" borderId="0" xfId="0" applyFont="1" applyAlignment="1">
      <alignment horizontal="center"/>
    </xf>
    <xf numFmtId="0" fontId="9" fillId="0" borderId="0" xfId="0" applyFont="1" applyBorder="1"/>
    <xf numFmtId="0" fontId="8" fillId="0" borderId="0" xfId="0" applyFont="1" applyBorder="1" applyAlignment="1">
      <alignment horizontal="left"/>
    </xf>
    <xf numFmtId="0" fontId="12" fillId="0" borderId="0" xfId="0" applyNumberFormat="1" applyFont="1" applyFill="1" applyBorder="1" applyAlignment="1" applyProtection="1">
      <alignment horizontal="center"/>
    </xf>
    <xf numFmtId="0" fontId="12" fillId="0" borderId="0" xfId="0" applyNumberFormat="1" applyFont="1" applyFill="1" applyBorder="1" applyAlignment="1" applyProtection="1">
      <alignment horizontal="left"/>
    </xf>
    <xf numFmtId="0" fontId="8" fillId="0" borderId="0" xfId="0" applyFont="1" applyAlignment="1">
      <alignment wrapText="1"/>
    </xf>
    <xf numFmtId="0" fontId="8" fillId="0" borderId="0" xfId="0" applyFont="1" applyAlignment="1">
      <alignment vertical="center"/>
    </xf>
    <xf numFmtId="0" fontId="9" fillId="0" borderId="0" xfId="0" applyFont="1" applyFill="1" applyBorder="1" applyAlignment="1">
      <alignment horizontal="left" vertical="center" wrapText="1"/>
    </xf>
    <xf numFmtId="0" fontId="14" fillId="0" borderId="0" xfId="0" applyFont="1"/>
    <xf numFmtId="0" fontId="0" fillId="0" borderId="0" xfId="0"/>
    <xf numFmtId="0" fontId="0" fillId="0" borderId="0" xfId="0"/>
    <xf numFmtId="0" fontId="8" fillId="0" borderId="0" xfId="8">
      <alignment wrapText="1"/>
    </xf>
    <xf numFmtId="0" fontId="9" fillId="0" borderId="0" xfId="8" applyFont="1">
      <alignment wrapText="1"/>
    </xf>
    <xf numFmtId="0" fontId="9" fillId="0" borderId="0" xfId="9">
      <alignment wrapText="1"/>
    </xf>
    <xf numFmtId="0" fontId="9" fillId="0" borderId="0" xfId="9" applyAlignment="1">
      <alignment vertical="center" wrapText="1"/>
    </xf>
    <xf numFmtId="0" fontId="9" fillId="0" borderId="0" xfId="9" applyAlignment="1">
      <alignment vertical="center"/>
    </xf>
    <xf numFmtId="0" fontId="8" fillId="0" borderId="0" xfId="8" applyAlignment="1">
      <alignment vertical="center"/>
    </xf>
    <xf numFmtId="0" fontId="0" fillId="0" borderId="0" xfId="0"/>
    <xf numFmtId="0" fontId="8" fillId="0" borderId="0" xfId="8">
      <alignment wrapText="1"/>
    </xf>
    <xf numFmtId="0" fontId="8" fillId="0" borderId="0" xfId="8" applyFill="1">
      <alignment wrapText="1"/>
    </xf>
    <xf numFmtId="165" fontId="8" fillId="0" borderId="0" xfId="1" applyNumberFormat="1" applyFont="1" applyBorder="1"/>
    <xf numFmtId="165" fontId="8" fillId="0" borderId="0" xfId="1" applyNumberFormat="1" applyFont="1"/>
    <xf numFmtId="165" fontId="9" fillId="0" borderId="0" xfId="1" applyNumberFormat="1" applyFont="1"/>
    <xf numFmtId="165" fontId="8" fillId="0" borderId="0" xfId="1" applyNumberFormat="1" applyFont="1" applyAlignment="1">
      <alignment vertical="center"/>
    </xf>
    <xf numFmtId="165" fontId="9" fillId="0" borderId="0" xfId="1" applyNumberFormat="1" applyFont="1" applyAlignment="1">
      <alignment vertical="center"/>
    </xf>
    <xf numFmtId="165" fontId="8" fillId="0" borderId="0" xfId="1" applyNumberFormat="1" applyFont="1" applyAlignment="1">
      <alignment vertical="center" wrapText="1"/>
    </xf>
    <xf numFmtId="0" fontId="8" fillId="0" borderId="0" xfId="8" applyAlignment="1">
      <alignment wrapText="1"/>
    </xf>
    <xf numFmtId="165" fontId="9" fillId="0" borderId="0" xfId="1" applyNumberFormat="1" applyFont="1" applyBorder="1" applyAlignment="1">
      <alignment horizontal="right"/>
    </xf>
    <xf numFmtId="0" fontId="9" fillId="0" borderId="0" xfId="9" applyAlignment="1">
      <alignment wrapText="1"/>
    </xf>
    <xf numFmtId="0" fontId="9" fillId="0" borderId="0" xfId="8" applyFont="1" applyAlignment="1">
      <alignment wrapText="1"/>
    </xf>
    <xf numFmtId="0" fontId="9" fillId="0" borderId="0" xfId="8" applyFont="1" applyAlignment="1">
      <alignment horizontal="left" wrapText="1"/>
    </xf>
    <xf numFmtId="0" fontId="8" fillId="0" borderId="0" xfId="8" applyAlignment="1">
      <alignment vertical="center" wrapText="1"/>
    </xf>
    <xf numFmtId="0" fontId="9" fillId="0" borderId="0" xfId="8" applyFont="1" applyAlignment="1">
      <alignment vertical="center"/>
    </xf>
    <xf numFmtId="0" fontId="8" fillId="0" borderId="0" xfId="8" applyFont="1">
      <alignment wrapText="1"/>
    </xf>
    <xf numFmtId="0" fontId="0" fillId="0" borderId="0" xfId="0"/>
    <xf numFmtId="0" fontId="9" fillId="0" borderId="0" xfId="0" applyFont="1" applyBorder="1" applyAlignment="1">
      <alignment horizontal="center"/>
    </xf>
    <xf numFmtId="0" fontId="0" fillId="0" borderId="0" xfId="0" applyBorder="1"/>
    <xf numFmtId="0" fontId="8" fillId="0" borderId="0" xfId="8" applyBorder="1">
      <alignment wrapText="1"/>
    </xf>
    <xf numFmtId="165" fontId="8" fillId="0" borderId="0" xfId="1" applyNumberFormat="1" applyFont="1" applyBorder="1" applyAlignment="1">
      <alignment vertical="center"/>
    </xf>
    <xf numFmtId="0" fontId="8" fillId="0" borderId="0" xfId="8" applyFill="1" applyAlignment="1">
      <alignment vertical="center"/>
    </xf>
    <xf numFmtId="0" fontId="9" fillId="0" borderId="0" xfId="9">
      <alignment wrapText="1"/>
    </xf>
    <xf numFmtId="165" fontId="9" fillId="0" borderId="0" xfId="1" applyNumberFormat="1" applyFont="1" applyAlignment="1">
      <alignment horizontal="right" vertical="center" wrapText="1"/>
    </xf>
    <xf numFmtId="165" fontId="8" fillId="0" borderId="0" xfId="1" applyNumberFormat="1" applyFont="1" applyAlignment="1">
      <alignment horizontal="right" vertical="center" wrapText="1"/>
    </xf>
    <xf numFmtId="0" fontId="9" fillId="0" borderId="0" xfId="9">
      <alignment wrapText="1"/>
    </xf>
    <xf numFmtId="0" fontId="16" fillId="0" borderId="0" xfId="0" applyFont="1"/>
    <xf numFmtId="0" fontId="16" fillId="0" borderId="0" xfId="8" applyFont="1">
      <alignment wrapText="1"/>
    </xf>
    <xf numFmtId="0" fontId="15" fillId="0" borderId="0" xfId="0" applyFont="1"/>
    <xf numFmtId="0" fontId="17" fillId="0" borderId="0" xfId="9" applyFont="1">
      <alignment wrapText="1"/>
    </xf>
    <xf numFmtId="165" fontId="8" fillId="0" borderId="0" xfId="1" applyNumberFormat="1" applyFont="1" applyBorder="1" applyAlignment="1">
      <alignment vertical="center" wrapText="1"/>
    </xf>
    <xf numFmtId="1" fontId="8" fillId="0" borderId="0" xfId="8" applyNumberFormat="1">
      <alignment wrapText="1"/>
    </xf>
    <xf numFmtId="166" fontId="8" fillId="0" borderId="0" xfId="1" applyNumberFormat="1" applyFont="1" applyAlignment="1">
      <alignment horizontal="right"/>
    </xf>
    <xf numFmtId="166" fontId="8" fillId="0" borderId="0" xfId="1" applyNumberFormat="1" applyFont="1" applyBorder="1" applyAlignment="1">
      <alignment horizontal="right"/>
    </xf>
    <xf numFmtId="166" fontId="9" fillId="0" borderId="0" xfId="1" applyNumberFormat="1" applyFont="1" applyBorder="1" applyAlignment="1">
      <alignment horizontal="right"/>
    </xf>
    <xf numFmtId="0" fontId="0" fillId="0" borderId="0" xfId="0" applyFill="1"/>
    <xf numFmtId="0" fontId="9" fillId="0" borderId="0" xfId="9">
      <alignment wrapText="1"/>
    </xf>
    <xf numFmtId="166" fontId="8" fillId="0" borderId="0" xfId="10">
      <alignment horizontal="right"/>
    </xf>
    <xf numFmtId="166" fontId="9" fillId="0" borderId="10" xfId="7">
      <alignment horizontal="right"/>
    </xf>
    <xf numFmtId="166" fontId="9" fillId="0" borderId="11" xfId="6">
      <alignment horizontal="right"/>
    </xf>
    <xf numFmtId="0" fontId="8" fillId="0" borderId="0" xfId="8" quotePrefix="1">
      <alignment wrapText="1"/>
    </xf>
    <xf numFmtId="0" fontId="20" fillId="0" borderId="0" xfId="9" applyFont="1">
      <alignment wrapText="1"/>
    </xf>
    <xf numFmtId="165" fontId="9" fillId="0" borderId="0" xfId="1" applyNumberFormat="1" applyFont="1" applyAlignment="1">
      <alignment vertical="center"/>
    </xf>
    <xf numFmtId="0" fontId="9" fillId="0" borderId="0" xfId="9">
      <alignment wrapText="1"/>
    </xf>
    <xf numFmtId="0" fontId="9" fillId="0" borderId="0" xfId="9" applyFill="1">
      <alignment wrapText="1"/>
    </xf>
    <xf numFmtId="0" fontId="8" fillId="0" borderId="0" xfId="8" applyAlignment="1">
      <alignment horizontal="left" vertical="center" wrapText="1"/>
    </xf>
    <xf numFmtId="0" fontId="19" fillId="0" borderId="0" xfId="8" applyFont="1" applyAlignment="1">
      <alignment vertical="center" wrapText="1"/>
    </xf>
    <xf numFmtId="0" fontId="16" fillId="0" borderId="0" xfId="8" applyFont="1" applyFill="1">
      <alignment wrapText="1"/>
    </xf>
    <xf numFmtId="0" fontId="8" fillId="0" borderId="0" xfId="0" applyFont="1" applyFill="1"/>
    <xf numFmtId="166" fontId="9" fillId="0" borderId="0" xfId="11">
      <alignment horizontal="right"/>
    </xf>
    <xf numFmtId="0" fontId="8" fillId="0" borderId="0" xfId="8">
      <alignment wrapText="1"/>
    </xf>
    <xf numFmtId="0" fontId="9" fillId="0" borderId="0" xfId="9" applyFill="1" applyAlignment="1">
      <alignment vertical="center"/>
    </xf>
    <xf numFmtId="0" fontId="22" fillId="0" borderId="0" xfId="0" applyFont="1" applyFill="1"/>
    <xf numFmtId="0" fontId="23" fillId="0" borderId="0" xfId="0" applyFont="1"/>
    <xf numFmtId="49" fontId="8" fillId="0" borderId="4" xfId="0" applyNumberFormat="1" applyFont="1" applyBorder="1"/>
    <xf numFmtId="0" fontId="24" fillId="0" borderId="0" xfId="0" applyFont="1"/>
    <xf numFmtId="0" fontId="17" fillId="2" borderId="0" xfId="0" applyFont="1" applyFill="1" applyBorder="1"/>
    <xf numFmtId="0" fontId="17" fillId="2" borderId="6" xfId="0" applyFont="1" applyFill="1" applyBorder="1"/>
    <xf numFmtId="0" fontId="8" fillId="0" borderId="7" xfId="0" applyFont="1" applyFill="1" applyBorder="1"/>
    <xf numFmtId="14" fontId="8" fillId="0" borderId="7" xfId="0" applyNumberFormat="1" applyFont="1" applyFill="1" applyBorder="1" applyAlignment="1">
      <alignment horizontal="right"/>
    </xf>
    <xf numFmtId="0" fontId="8" fillId="0" borderId="8" xfId="0" applyFont="1" applyFill="1" applyBorder="1"/>
    <xf numFmtId="164" fontId="11" fillId="0" borderId="9" xfId="0" applyNumberFormat="1" applyFont="1" applyFill="1" applyBorder="1" applyAlignment="1">
      <alignment horizontal="left" vertical="center"/>
    </xf>
    <xf numFmtId="14" fontId="11" fillId="0" borderId="9" xfId="0" applyNumberFormat="1" applyFont="1" applyFill="1" applyBorder="1" applyAlignment="1">
      <alignment horizontal="right" vertical="center"/>
    </xf>
    <xf numFmtId="164" fontId="11" fillId="0" borderId="5" xfId="0" applyNumberFormat="1" applyFont="1" applyFill="1" applyBorder="1" applyAlignment="1">
      <alignment horizontal="left" vertical="center"/>
    </xf>
    <xf numFmtId="164" fontId="7" fillId="0" borderId="9" xfId="0" applyNumberFormat="1" applyFont="1" applyFill="1" applyBorder="1" applyAlignment="1">
      <alignment vertical="center"/>
    </xf>
    <xf numFmtId="14" fontId="7" fillId="0" borderId="9" xfId="0" applyNumberFormat="1" applyFont="1" applyFill="1" applyBorder="1" applyAlignment="1">
      <alignment horizontal="right" vertical="center"/>
    </xf>
    <xf numFmtId="0" fontId="9" fillId="0" borderId="0" xfId="9" applyAlignment="1">
      <alignment horizontal="left" vertical="center"/>
    </xf>
    <xf numFmtId="0" fontId="0" fillId="0" borderId="0" xfId="0" applyAlignment="1">
      <alignment horizontal="left"/>
    </xf>
    <xf numFmtId="0" fontId="19" fillId="0" borderId="0" xfId="8" applyFont="1" applyAlignment="1">
      <alignment horizontal="left" vertical="center" wrapText="1"/>
    </xf>
    <xf numFmtId="0" fontId="9" fillId="0" borderId="0" xfId="9" applyAlignment="1">
      <alignment horizontal="right" wrapText="1"/>
    </xf>
    <xf numFmtId="0" fontId="28" fillId="0" borderId="0" xfId="0" applyFont="1"/>
    <xf numFmtId="0" fontId="8" fillId="0" borderId="0" xfId="0" applyFont="1" applyAlignment="1">
      <alignment horizontal="center"/>
    </xf>
    <xf numFmtId="0" fontId="8" fillId="0" borderId="0" xfId="0" applyFont="1" applyBorder="1" applyAlignment="1">
      <alignment horizontal="center"/>
    </xf>
    <xf numFmtId="0" fontId="11" fillId="0" borderId="0" xfId="0" applyNumberFormat="1" applyFont="1" applyFill="1" applyAlignment="1" applyProtection="1">
      <alignment horizontal="center"/>
    </xf>
    <xf numFmtId="0" fontId="7" fillId="0" borderId="0" xfId="0" applyNumberFormat="1" applyFont="1" applyFill="1" applyAlignment="1" applyProtection="1">
      <alignment horizontal="center"/>
    </xf>
    <xf numFmtId="0" fontId="7" fillId="0" borderId="0" xfId="0" applyFont="1" applyAlignment="1">
      <alignment horizontal="center"/>
    </xf>
    <xf numFmtId="0" fontId="7"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center"/>
    </xf>
    <xf numFmtId="0" fontId="9" fillId="0" borderId="0" xfId="9" quotePrefix="1" applyAlignment="1">
      <alignment horizontal="right" wrapText="1"/>
    </xf>
    <xf numFmtId="0" fontId="19" fillId="0" borderId="0" xfId="8" applyFont="1" applyAlignment="1">
      <alignment wrapText="1"/>
    </xf>
    <xf numFmtId="0" fontId="9" fillId="0" borderId="0" xfId="8" applyFont="1" applyAlignment="1"/>
    <xf numFmtId="0" fontId="8" fillId="0" borderId="0" xfId="8" applyFill="1" applyAlignment="1">
      <alignment wrapText="1"/>
    </xf>
    <xf numFmtId="166" fontId="9" fillId="0" borderId="0" xfId="7" applyBorder="1">
      <alignment horizontal="right"/>
    </xf>
    <xf numFmtId="166" fontId="9" fillId="0" borderId="0" xfId="6" applyBorder="1">
      <alignment horizontal="right"/>
    </xf>
    <xf numFmtId="166" fontId="9" fillId="0" borderId="0" xfId="11" applyBorder="1">
      <alignment horizontal="right"/>
    </xf>
    <xf numFmtId="166" fontId="8" fillId="0" borderId="0" xfId="10" applyBorder="1">
      <alignment horizontal="right"/>
    </xf>
    <xf numFmtId="0" fontId="9" fillId="0" borderId="0" xfId="9" applyAlignment="1">
      <alignment horizontal="right" wrapText="1"/>
    </xf>
    <xf numFmtId="0" fontId="9" fillId="0" borderId="0" xfId="9" applyAlignment="1">
      <alignment horizontal="center" wrapText="1"/>
    </xf>
    <xf numFmtId="0" fontId="9" fillId="0" borderId="0" xfId="9">
      <alignment wrapText="1"/>
    </xf>
    <xf numFmtId="0" fontId="29" fillId="0" borderId="0" xfId="0" applyFont="1" applyAlignment="1">
      <alignment horizontal="center"/>
    </xf>
    <xf numFmtId="0" fontId="9" fillId="0" borderId="0" xfId="9" applyAlignment="1">
      <alignment horizontal="right" wrapText="1"/>
    </xf>
    <xf numFmtId="0" fontId="9" fillId="0" borderId="0" xfId="9" applyAlignment="1">
      <alignment horizontal="center" wrapText="1"/>
    </xf>
    <xf numFmtId="0" fontId="9" fillId="0" borderId="0" xfId="9">
      <alignment wrapText="1"/>
    </xf>
    <xf numFmtId="0" fontId="8" fillId="0" borderId="0" xfId="8" applyAlignment="1">
      <alignment horizontal="center" wrapText="1"/>
    </xf>
    <xf numFmtId="0" fontId="8" fillId="0" borderId="0" xfId="0" applyFont="1" applyAlignment="1">
      <alignment horizontal="right"/>
    </xf>
    <xf numFmtId="0" fontId="8" fillId="0" borderId="0" xfId="8">
      <alignment wrapText="1"/>
    </xf>
    <xf numFmtId="0" fontId="9" fillId="0" borderId="0" xfId="9" applyAlignment="1"/>
    <xf numFmtId="0" fontId="8" fillId="0" borderId="0" xfId="8" applyAlignment="1">
      <alignment horizontal="right" wrapText="1"/>
    </xf>
    <xf numFmtId="0" fontId="8" fillId="0" borderId="0" xfId="8">
      <alignment wrapText="1"/>
    </xf>
    <xf numFmtId="0" fontId="9" fillId="0" borderId="0" xfId="9" applyAlignment="1">
      <alignment horizontal="center" wrapText="1"/>
    </xf>
    <xf numFmtId="0" fontId="9" fillId="0" borderId="0" xfId="9">
      <alignment wrapText="1"/>
    </xf>
    <xf numFmtId="0" fontId="9" fillId="0" borderId="0" xfId="9" applyFill="1" applyAlignment="1">
      <alignment vertical="top" wrapText="1"/>
    </xf>
    <xf numFmtId="0" fontId="20" fillId="0" borderId="0" xfId="9" applyFont="1" applyAlignment="1"/>
    <xf numFmtId="0" fontId="19" fillId="0" borderId="0" xfId="9" applyFont="1" applyAlignment="1">
      <alignment horizontal="left" wrapText="1"/>
    </xf>
    <xf numFmtId="0" fontId="8" fillId="0" borderId="0" xfId="8" applyFill="1" applyAlignment="1"/>
    <xf numFmtId="14" fontId="8" fillId="5" borderId="4" xfId="0" applyNumberFormat="1" applyFont="1" applyFill="1" applyBorder="1" applyAlignment="1">
      <alignment horizontal="left"/>
    </xf>
    <xf numFmtId="14" fontId="8" fillId="0" borderId="4" xfId="0" applyNumberFormat="1" applyFont="1" applyBorder="1"/>
    <xf numFmtId="0" fontId="8" fillId="0" borderId="4" xfId="0" applyFont="1" applyBorder="1" applyAlignment="1" applyProtection="1">
      <alignment wrapText="1"/>
    </xf>
    <xf numFmtId="0" fontId="8" fillId="0" borderId="0" xfId="0" applyFont="1" applyAlignment="1">
      <alignment horizontal="center" wrapText="1"/>
    </xf>
    <xf numFmtId="0" fontId="9" fillId="0" borderId="0" xfId="9" applyBorder="1" applyAlignment="1">
      <alignment horizontal="right" wrapText="1"/>
    </xf>
    <xf numFmtId="0" fontId="8" fillId="0" borderId="0" xfId="8" applyAlignment="1">
      <alignment horizontal="left" wrapText="1" indent="1"/>
    </xf>
    <xf numFmtId="166" fontId="9" fillId="0" borderId="0" xfId="11">
      <alignment horizontal="right"/>
    </xf>
    <xf numFmtId="166" fontId="9" fillId="0" borderId="10" xfId="7">
      <alignment horizontal="right"/>
    </xf>
    <xf numFmtId="0" fontId="9" fillId="0" borderId="0" xfId="9" applyFont="1" applyAlignment="1">
      <alignment vertical="center"/>
    </xf>
    <xf numFmtId="0" fontId="9" fillId="0" borderId="0" xfId="9" applyFill="1" applyAlignment="1"/>
    <xf numFmtId="0" fontId="20" fillId="0" borderId="0" xfId="9" applyFont="1" applyFill="1" applyAlignment="1"/>
    <xf numFmtId="0" fontId="9" fillId="0" borderId="0" xfId="0" applyFont="1" applyAlignment="1">
      <alignment horizontal="right"/>
    </xf>
    <xf numFmtId="0" fontId="9" fillId="0" borderId="0" xfId="0" applyFont="1" applyBorder="1" applyAlignment="1">
      <alignment horizontal="right"/>
    </xf>
    <xf numFmtId="6" fontId="9" fillId="0" borderId="0" xfId="0" quotePrefix="1" applyNumberFormat="1" applyFont="1" applyAlignment="1">
      <alignment horizontal="right"/>
    </xf>
    <xf numFmtId="6" fontId="9" fillId="0" borderId="0" xfId="0" quotePrefix="1" applyNumberFormat="1" applyFont="1" applyBorder="1" applyAlignment="1">
      <alignment horizontal="right"/>
    </xf>
    <xf numFmtId="2" fontId="6" fillId="0" borderId="0" xfId="0" quotePrefix="1" applyNumberFormat="1" applyFont="1" applyFill="1" applyBorder="1" applyAlignment="1">
      <alignment vertical="center"/>
    </xf>
    <xf numFmtId="0" fontId="9" fillId="0" borderId="0" xfId="9" quotePrefix="1" applyAlignment="1">
      <alignment wrapText="1"/>
    </xf>
    <xf numFmtId="0" fontId="9" fillId="0" borderId="0" xfId="9" applyAlignment="1">
      <alignment horizontal="center"/>
    </xf>
    <xf numFmtId="0" fontId="8" fillId="0" borderId="0" xfId="8" applyAlignment="1">
      <alignment horizontal="left" wrapText="1" indent="2"/>
    </xf>
    <xf numFmtId="166" fontId="8" fillId="0" borderId="0" xfId="10" quotePrefix="1">
      <alignment horizontal="right"/>
    </xf>
    <xf numFmtId="0" fontId="8" fillId="0" borderId="0" xfId="8">
      <alignment wrapText="1"/>
    </xf>
    <xf numFmtId="0" fontId="9" fillId="0" borderId="0" xfId="9">
      <alignment wrapText="1"/>
    </xf>
    <xf numFmtId="0" fontId="9" fillId="0" borderId="0" xfId="9" applyAlignment="1"/>
    <xf numFmtId="0" fontId="8" fillId="0" borderId="0" xfId="8" applyAlignment="1"/>
    <xf numFmtId="0" fontId="8" fillId="0" borderId="0" xfId="8" applyFont="1" applyAlignment="1">
      <alignment wrapText="1"/>
    </xf>
    <xf numFmtId="0" fontId="8" fillId="0" borderId="0" xfId="8">
      <alignment wrapText="1"/>
    </xf>
    <xf numFmtId="0" fontId="8" fillId="0" borderId="0" xfId="8" applyAlignment="1">
      <alignment horizontal="left" wrapText="1"/>
    </xf>
    <xf numFmtId="0" fontId="8" fillId="0" borderId="0" xfId="8">
      <alignment wrapText="1"/>
    </xf>
    <xf numFmtId="0" fontId="9" fillId="0" borderId="0" xfId="9" applyAlignment="1">
      <alignment horizontal="center" wrapText="1"/>
    </xf>
    <xf numFmtId="0" fontId="9" fillId="0" borderId="0" xfId="9">
      <alignment wrapText="1"/>
    </xf>
    <xf numFmtId="0" fontId="9" fillId="0" borderId="0" xfId="9" applyAlignment="1"/>
    <xf numFmtId="0" fontId="8" fillId="0" borderId="0" xfId="8" applyAlignment="1">
      <alignment horizontal="left" indent="1"/>
    </xf>
    <xf numFmtId="0" fontId="8" fillId="0" borderId="0" xfId="8" applyFill="1" applyAlignment="1">
      <alignment horizontal="left" wrapText="1" indent="1"/>
    </xf>
    <xf numFmtId="0" fontId="30" fillId="0" borderId="0" xfId="9" applyFont="1">
      <alignment wrapText="1"/>
    </xf>
    <xf numFmtId="0" fontId="30" fillId="0" borderId="0" xfId="9" applyFont="1" applyAlignment="1"/>
    <xf numFmtId="0" fontId="7" fillId="0" borderId="0" xfId="8" applyFont="1" applyFill="1" applyAlignment="1">
      <alignment horizontal="left" wrapText="1"/>
    </xf>
    <xf numFmtId="166" fontId="8" fillId="0" borderId="0" xfId="10" applyFill="1">
      <alignment horizontal="right"/>
    </xf>
    <xf numFmtId="0" fontId="9" fillId="0" borderId="0" xfId="9" applyFill="1" applyAlignment="1">
      <alignment horizontal="right" wrapText="1"/>
    </xf>
    <xf numFmtId="0" fontId="8" fillId="0" borderId="0" xfId="8">
      <alignment wrapText="1"/>
    </xf>
    <xf numFmtId="0" fontId="19" fillId="0" borderId="0" xfId="8" applyFont="1" applyAlignment="1"/>
    <xf numFmtId="0" fontId="8" fillId="0" borderId="0" xfId="8">
      <alignment wrapText="1"/>
    </xf>
    <xf numFmtId="0" fontId="9" fillId="0" borderId="0" xfId="9">
      <alignment wrapText="1"/>
    </xf>
    <xf numFmtId="0" fontId="8" fillId="0" borderId="0" xfId="8" applyAlignment="1">
      <alignment horizontal="left" wrapText="1" indent="1"/>
    </xf>
    <xf numFmtId="166" fontId="9" fillId="0" borderId="10" xfId="7">
      <alignment horizontal="right"/>
    </xf>
    <xf numFmtId="0" fontId="9" fillId="0" borderId="0" xfId="9" applyAlignment="1">
      <alignment horizontal="right" wrapText="1"/>
    </xf>
    <xf numFmtId="0" fontId="9" fillId="0" borderId="0" xfId="9" applyAlignment="1"/>
    <xf numFmtId="0" fontId="9" fillId="0" borderId="0" xfId="9">
      <alignment wrapText="1"/>
    </xf>
    <xf numFmtId="0" fontId="9" fillId="0" borderId="0" xfId="9" applyAlignment="1">
      <alignment horizontal="right" wrapText="1"/>
    </xf>
    <xf numFmtId="0" fontId="8" fillId="0" borderId="0" xfId="9" applyFont="1" applyFill="1" applyAlignment="1">
      <alignment wrapText="1"/>
    </xf>
    <xf numFmtId="166" fontId="9" fillId="0" borderId="0" xfId="11">
      <alignment horizontal="right"/>
    </xf>
    <xf numFmtId="166" fontId="9" fillId="0" borderId="0" xfId="11">
      <alignment horizontal="right"/>
    </xf>
    <xf numFmtId="0" fontId="8" fillId="0" borderId="0" xfId="8">
      <alignment wrapText="1"/>
    </xf>
    <xf numFmtId="0" fontId="8" fillId="0" borderId="0" xfId="8" applyAlignment="1">
      <alignment horizontal="left" wrapText="1" indent="1"/>
    </xf>
    <xf numFmtId="166" fontId="9" fillId="0" borderId="0" xfId="11">
      <alignment horizontal="right"/>
    </xf>
    <xf numFmtId="166" fontId="9" fillId="0" borderId="10" xfId="7">
      <alignment horizontal="right"/>
    </xf>
    <xf numFmtId="0" fontId="9" fillId="0" borderId="0" xfId="9" applyAlignment="1"/>
    <xf numFmtId="0" fontId="8" fillId="0" borderId="0" xfId="8">
      <alignment wrapText="1"/>
    </xf>
    <xf numFmtId="0" fontId="19" fillId="0" borderId="0" xfId="8" applyFont="1" applyAlignment="1">
      <alignment horizontal="left" wrapText="1"/>
    </xf>
    <xf numFmtId="0" fontId="9" fillId="0" borderId="0" xfId="9">
      <alignment wrapText="1"/>
    </xf>
    <xf numFmtId="0" fontId="19" fillId="0" borderId="0" xfId="8" applyFont="1" applyAlignment="1">
      <alignment vertical="center" wrapText="1"/>
    </xf>
    <xf numFmtId="0" fontId="9" fillId="0" borderId="0" xfId="9" applyAlignment="1">
      <alignment horizontal="right" wrapText="1"/>
    </xf>
    <xf numFmtId="0" fontId="9" fillId="0" borderId="0" xfId="9" applyAlignment="1"/>
    <xf numFmtId="0" fontId="8" fillId="0" borderId="0" xfId="9" applyFont="1" applyAlignment="1">
      <alignment horizontal="left" indent="1"/>
    </xf>
    <xf numFmtId="0" fontId="8" fillId="0" borderId="0" xfId="8">
      <alignment wrapText="1"/>
    </xf>
    <xf numFmtId="0" fontId="9" fillId="0" borderId="0" xfId="9">
      <alignment wrapText="1"/>
    </xf>
    <xf numFmtId="0" fontId="8" fillId="0" borderId="0" xfId="8" applyAlignment="1">
      <alignment horizontal="left" wrapText="1" indent="1"/>
    </xf>
    <xf numFmtId="166" fontId="9" fillId="0" borderId="10" xfId="7">
      <alignment horizontal="right"/>
    </xf>
    <xf numFmtId="0" fontId="9" fillId="0" borderId="0" xfId="9" applyAlignment="1">
      <alignment horizontal="right" wrapText="1"/>
    </xf>
    <xf numFmtId="0" fontId="9" fillId="0" borderId="0" xfId="9" applyAlignment="1"/>
    <xf numFmtId="0" fontId="9" fillId="0" borderId="0" xfId="9" applyFill="1" applyAlignment="1">
      <alignment horizontal="right" wrapText="1"/>
    </xf>
    <xf numFmtId="0" fontId="8" fillId="0" borderId="0" xfId="8">
      <alignment wrapText="1"/>
    </xf>
    <xf numFmtId="0" fontId="8" fillId="0" borderId="0" xfId="8" applyAlignment="1">
      <alignment horizontal="left" wrapText="1" indent="1"/>
    </xf>
    <xf numFmtId="0" fontId="9" fillId="0" borderId="0" xfId="9" applyAlignment="1"/>
    <xf numFmtId="0" fontId="9" fillId="0" borderId="0" xfId="9" applyFill="1" applyAlignment="1">
      <alignment horizontal="center" wrapText="1"/>
    </xf>
    <xf numFmtId="0" fontId="8" fillId="0" borderId="0" xfId="0" applyFont="1" applyAlignment="1">
      <alignment horizontal="left" vertical="center" indent="1"/>
    </xf>
    <xf numFmtId="0" fontId="9" fillId="0" borderId="0" xfId="0" applyFont="1" applyAlignment="1">
      <alignment vertical="center"/>
    </xf>
    <xf numFmtId="0" fontId="0" fillId="0" borderId="0" xfId="0" applyAlignment="1">
      <alignment horizontal="left" wrapText="1"/>
    </xf>
    <xf numFmtId="0" fontId="8" fillId="0" borderId="0" xfId="0" applyFont="1" applyFill="1" applyBorder="1"/>
    <xf numFmtId="0" fontId="8" fillId="0" borderId="0" xfId="8" applyFill="1" applyAlignment="1">
      <alignment horizontal="center" wrapText="1"/>
    </xf>
    <xf numFmtId="166" fontId="8" fillId="0" borderId="11" xfId="10" applyBorder="1">
      <alignment horizontal="right"/>
    </xf>
    <xf numFmtId="0" fontId="8" fillId="0" borderId="0" xfId="9" applyFont="1" applyFill="1" applyAlignment="1">
      <alignment horizontal="center" wrapText="1"/>
    </xf>
    <xf numFmtId="0" fontId="28" fillId="0" borderId="0" xfId="8" applyFont="1" applyAlignment="1">
      <alignment wrapText="1"/>
    </xf>
    <xf numFmtId="0" fontId="28" fillId="0" borderId="0" xfId="8" applyFont="1" applyAlignment="1">
      <alignment horizontal="left"/>
    </xf>
    <xf numFmtId="0" fontId="25" fillId="0" borderId="0" xfId="8" applyFont="1" applyAlignment="1"/>
    <xf numFmtId="0" fontId="8" fillId="0" borderId="0" xfId="8">
      <alignment wrapText="1"/>
    </xf>
    <xf numFmtId="0" fontId="31" fillId="0" borderId="0" xfId="0" applyFont="1"/>
    <xf numFmtId="0" fontId="8" fillId="0" borderId="0" xfId="8" applyFill="1">
      <alignment wrapText="1"/>
    </xf>
    <xf numFmtId="0" fontId="8" fillId="0" borderId="0" xfId="8">
      <alignment wrapText="1"/>
    </xf>
    <xf numFmtId="0" fontId="8" fillId="0" borderId="0" xfId="8" applyAlignment="1">
      <alignment horizontal="left" wrapText="1" indent="1"/>
    </xf>
    <xf numFmtId="0" fontId="8" fillId="0" borderId="0" xfId="8" applyFont="1" applyAlignment="1">
      <alignment horizontal="left" wrapText="1" indent="1"/>
    </xf>
    <xf numFmtId="0" fontId="6" fillId="0" borderId="0" xfId="8" applyFont="1" applyAlignment="1">
      <alignment wrapText="1"/>
    </xf>
    <xf numFmtId="0" fontId="7" fillId="0" borderId="0" xfId="8" applyFont="1" applyAlignment="1">
      <alignment wrapText="1"/>
    </xf>
    <xf numFmtId="0" fontId="7" fillId="0" borderId="0" xfId="8" applyFont="1" applyAlignment="1">
      <alignment horizontal="left" wrapText="1"/>
    </xf>
    <xf numFmtId="0" fontId="8" fillId="0" borderId="0" xfId="8">
      <alignment wrapText="1"/>
    </xf>
    <xf numFmtId="0" fontId="9" fillId="0" borderId="0" xfId="9" applyAlignment="1"/>
    <xf numFmtId="166" fontId="8" fillId="0" borderId="0" xfId="10">
      <alignment horizontal="right"/>
    </xf>
    <xf numFmtId="0" fontId="0" fillId="0" borderId="0" xfId="0"/>
    <xf numFmtId="0" fontId="8" fillId="0" borderId="0" xfId="8" applyAlignment="1">
      <alignment horizontal="left" wrapText="1" indent="1"/>
    </xf>
    <xf numFmtId="0" fontId="8" fillId="0" borderId="0" xfId="8">
      <alignment wrapText="1"/>
    </xf>
    <xf numFmtId="166" fontId="9" fillId="0" borderId="12" xfId="7" applyBorder="1">
      <alignment horizontal="right"/>
    </xf>
    <xf numFmtId="0" fontId="0" fillId="0" borderId="0" xfId="0" applyFill="1"/>
    <xf numFmtId="166" fontId="9" fillId="0" borderId="10" xfId="7">
      <alignment horizontal="right"/>
    </xf>
    <xf numFmtId="166" fontId="9" fillId="0" borderId="0" xfId="11">
      <alignment horizontal="right"/>
    </xf>
    <xf numFmtId="166" fontId="8" fillId="0" borderId="0" xfId="10">
      <alignment horizontal="right"/>
    </xf>
    <xf numFmtId="166" fontId="9" fillId="0" borderId="10" xfId="7">
      <alignment horizontal="right"/>
    </xf>
    <xf numFmtId="166" fontId="9" fillId="0" borderId="0" xfId="11">
      <alignment horizontal="right"/>
    </xf>
    <xf numFmtId="165" fontId="9" fillId="0" borderId="0" xfId="1" applyNumberFormat="1" applyFont="1" applyAlignment="1">
      <alignment vertical="center"/>
    </xf>
    <xf numFmtId="0" fontId="9" fillId="0" borderId="0" xfId="9" applyAlignment="1">
      <alignment wrapText="1"/>
    </xf>
    <xf numFmtId="166" fontId="8" fillId="0" borderId="0" xfId="10">
      <alignment horizontal="right"/>
    </xf>
    <xf numFmtId="166" fontId="9" fillId="0" borderId="10" xfId="7">
      <alignment horizontal="right"/>
    </xf>
    <xf numFmtId="166" fontId="9" fillId="0" borderId="11" xfId="6">
      <alignment horizontal="right"/>
    </xf>
    <xf numFmtId="166" fontId="9" fillId="0" borderId="0" xfId="11">
      <alignment horizontal="right"/>
    </xf>
    <xf numFmtId="0" fontId="0" fillId="0" borderId="0" xfId="0"/>
    <xf numFmtId="166" fontId="9" fillId="0" borderId="10" xfId="7">
      <alignment horizontal="right"/>
    </xf>
    <xf numFmtId="166" fontId="9" fillId="0" borderId="0" xfId="11">
      <alignment horizontal="right"/>
    </xf>
    <xf numFmtId="166" fontId="8" fillId="0" borderId="0" xfId="10" applyFill="1">
      <alignment horizontal="right"/>
    </xf>
    <xf numFmtId="0" fontId="9" fillId="0" borderId="0" xfId="9" applyAlignment="1">
      <alignment horizontal="right" wrapText="1"/>
    </xf>
    <xf numFmtId="0" fontId="9" fillId="0" borderId="0" xfId="9" applyAlignment="1"/>
    <xf numFmtId="0" fontId="0" fillId="0" borderId="0" xfId="0" applyAlignment="1">
      <alignment horizontal="left" wrapText="1"/>
    </xf>
    <xf numFmtId="0" fontId="8" fillId="0" borderId="0" xfId="8" applyAlignment="1">
      <alignment horizontal="left" wrapText="1" indent="1"/>
    </xf>
    <xf numFmtId="0" fontId="22" fillId="0" borderId="0" xfId="0" applyFont="1"/>
    <xf numFmtId="0" fontId="21" fillId="0" borderId="0" xfId="0" applyFont="1" applyFill="1" applyAlignment="1">
      <alignment horizontal="left" vertical="center" wrapText="1"/>
    </xf>
    <xf numFmtId="0" fontId="9" fillId="0" borderId="0" xfId="9" applyAlignment="1">
      <alignment horizontal="right" wrapText="1"/>
    </xf>
    <xf numFmtId="0" fontId="8" fillId="0" borderId="0" xfId="0" applyFont="1"/>
    <xf numFmtId="0" fontId="16" fillId="0" borderId="0" xfId="0" applyFont="1"/>
    <xf numFmtId="0" fontId="16" fillId="0" borderId="0" xfId="8" applyFont="1">
      <alignment wrapText="1"/>
    </xf>
    <xf numFmtId="166" fontId="8" fillId="0" borderId="0" xfId="10">
      <alignment horizontal="right"/>
    </xf>
    <xf numFmtId="0" fontId="8" fillId="0" borderId="0" xfId="8" applyAlignment="1">
      <alignment horizontal="left" wrapText="1" indent="1"/>
    </xf>
    <xf numFmtId="0" fontId="9" fillId="0" borderId="0" xfId="9" applyAlignment="1"/>
    <xf numFmtId="0" fontId="9" fillId="0" borderId="0" xfId="9" applyFill="1" applyAlignment="1">
      <alignment horizontal="center" wrapText="1"/>
    </xf>
    <xf numFmtId="0" fontId="8" fillId="0" borderId="0" xfId="8">
      <alignment wrapText="1"/>
    </xf>
    <xf numFmtId="0" fontId="9" fillId="0" borderId="0" xfId="9">
      <alignment wrapText="1"/>
    </xf>
    <xf numFmtId="0" fontId="8" fillId="0" borderId="0" xfId="8" applyAlignment="1">
      <alignment horizontal="left" wrapText="1" indent="1"/>
    </xf>
    <xf numFmtId="0" fontId="8" fillId="0" borderId="0" xfId="8" applyAlignment="1">
      <alignment horizontal="left" wrapText="1" indent="1"/>
    </xf>
    <xf numFmtId="0" fontId="8" fillId="0" borderId="0" xfId="8" applyAlignment="1">
      <alignment horizontal="left" vertical="top" wrapText="1"/>
    </xf>
    <xf numFmtId="0" fontId="8" fillId="0" borderId="0" xfId="8" applyFill="1">
      <alignment wrapText="1"/>
    </xf>
    <xf numFmtId="0" fontId="8" fillId="0" borderId="0" xfId="8">
      <alignment wrapText="1"/>
    </xf>
    <xf numFmtId="0" fontId="8" fillId="0" borderId="0" xfId="8" applyAlignment="1">
      <alignment horizontal="left" wrapText="1" indent="1"/>
    </xf>
    <xf numFmtId="0" fontId="9" fillId="0" borderId="0" xfId="9" applyAlignment="1"/>
    <xf numFmtId="0" fontId="9" fillId="0" borderId="0" xfId="9" applyAlignment="1">
      <alignment horizontal="right" wrapText="1"/>
    </xf>
    <xf numFmtId="0" fontId="8" fillId="0" borderId="0" xfId="8" applyAlignment="1">
      <alignment horizontal="center" vertical="top" wrapText="1"/>
    </xf>
    <xf numFmtId="0" fontId="33" fillId="0" borderId="0" xfId="0" applyFont="1"/>
    <xf numFmtId="0" fontId="8" fillId="0" borderId="0" xfId="8" applyFill="1">
      <alignment wrapText="1"/>
    </xf>
    <xf numFmtId="0" fontId="8" fillId="0" borderId="0" xfId="8">
      <alignment wrapText="1"/>
    </xf>
    <xf numFmtId="0" fontId="8" fillId="0" borderId="0" xfId="8" applyAlignment="1">
      <alignment horizontal="left" wrapText="1" indent="1"/>
    </xf>
    <xf numFmtId="164" fontId="7" fillId="0" borderId="5" xfId="0" applyNumberFormat="1" applyFont="1" applyFill="1" applyBorder="1" applyAlignment="1">
      <alignment vertical="center"/>
    </xf>
    <xf numFmtId="0" fontId="8" fillId="0" borderId="9" xfId="0" applyFont="1" applyBorder="1"/>
    <xf numFmtId="0" fontId="8" fillId="0" borderId="0" xfId="8" applyAlignment="1">
      <alignment horizontal="left" wrapText="1" indent="1"/>
    </xf>
    <xf numFmtId="0" fontId="8" fillId="5" borderId="4" xfId="0" applyFont="1" applyFill="1" applyBorder="1"/>
    <xf numFmtId="166" fontId="9" fillId="0" borderId="11" xfId="11" applyBorder="1">
      <alignment horizontal="right"/>
    </xf>
    <xf numFmtId="0" fontId="8" fillId="0" borderId="0" xfId="8" applyFill="1">
      <alignment wrapText="1"/>
    </xf>
    <xf numFmtId="0" fontId="8" fillId="0" borderId="0" xfId="8">
      <alignment wrapText="1"/>
    </xf>
    <xf numFmtId="0" fontId="8" fillId="0" borderId="0" xfId="8" applyAlignment="1">
      <alignment horizontal="left" wrapText="1" indent="1"/>
    </xf>
    <xf numFmtId="0" fontId="9" fillId="0" borderId="0" xfId="9">
      <alignment wrapText="1"/>
    </xf>
    <xf numFmtId="0" fontId="8" fillId="0" borderId="0" xfId="8" applyAlignment="1">
      <alignment horizontal="left" wrapText="1"/>
    </xf>
    <xf numFmtId="0" fontId="8" fillId="0" borderId="0" xfId="8">
      <alignment wrapText="1"/>
    </xf>
    <xf numFmtId="0" fontId="9" fillId="0" borderId="0" xfId="9">
      <alignment wrapText="1"/>
    </xf>
    <xf numFmtId="0" fontId="8" fillId="0" borderId="0" xfId="8" applyAlignment="1">
      <alignment horizontal="left" wrapText="1" indent="1"/>
    </xf>
    <xf numFmtId="0" fontId="9" fillId="0" borderId="0" xfId="9" applyAlignment="1"/>
    <xf numFmtId="0" fontId="9" fillId="0" borderId="0" xfId="9" applyAlignment="1">
      <alignment horizontal="right" wrapText="1"/>
    </xf>
    <xf numFmtId="0" fontId="8" fillId="0" borderId="0" xfId="8" applyFill="1">
      <alignment wrapText="1"/>
    </xf>
    <xf numFmtId="0" fontId="8" fillId="0" borderId="0" xfId="8">
      <alignment wrapText="1"/>
    </xf>
    <xf numFmtId="0" fontId="8" fillId="0" borderId="0" xfId="8" applyAlignment="1">
      <alignment horizontal="left" wrapText="1" indent="1"/>
    </xf>
    <xf numFmtId="0" fontId="8" fillId="0" borderId="0" xfId="0" applyFont="1" applyAlignment="1"/>
    <xf numFmtId="166" fontId="9" fillId="0" borderId="12" xfId="7" applyFill="1" applyBorder="1">
      <alignment horizontal="right"/>
    </xf>
    <xf numFmtId="0" fontId="10" fillId="0" borderId="0" xfId="0" applyFont="1" applyFill="1" applyAlignment="1"/>
    <xf numFmtId="0" fontId="8" fillId="0" borderId="0" xfId="8">
      <alignment wrapText="1"/>
    </xf>
    <xf numFmtId="0" fontId="8" fillId="0" borderId="0" xfId="8" applyAlignment="1">
      <alignment horizontal="left" wrapText="1"/>
    </xf>
    <xf numFmtId="0" fontId="8" fillId="0" borderId="0" xfId="8" applyFill="1">
      <alignment wrapText="1"/>
    </xf>
    <xf numFmtId="0" fontId="9" fillId="0" borderId="0" xfId="9">
      <alignment wrapText="1"/>
    </xf>
    <xf numFmtId="0" fontId="8" fillId="0" borderId="0" xfId="8" applyAlignment="1">
      <alignment horizontal="left" wrapText="1" indent="1"/>
    </xf>
    <xf numFmtId="0" fontId="9" fillId="0" borderId="0" xfId="9" applyAlignment="1"/>
    <xf numFmtId="0" fontId="9" fillId="0" borderId="0" xfId="9" applyAlignment="1">
      <alignment horizontal="right" wrapText="1"/>
    </xf>
    <xf numFmtId="0" fontId="8" fillId="0" borderId="0" xfId="8">
      <alignment wrapText="1"/>
    </xf>
    <xf numFmtId="0" fontId="9" fillId="0" borderId="0" xfId="9">
      <alignment wrapText="1"/>
    </xf>
    <xf numFmtId="0" fontId="8" fillId="0" borderId="0" xfId="8" applyAlignment="1">
      <alignment horizontal="left" wrapText="1" indent="1"/>
    </xf>
    <xf numFmtId="0" fontId="8" fillId="0" borderId="0" xfId="8" applyAlignment="1">
      <alignment horizontal="left"/>
    </xf>
    <xf numFmtId="0" fontId="8" fillId="0" borderId="0" xfId="8" applyFill="1">
      <alignment wrapText="1"/>
    </xf>
    <xf numFmtId="0" fontId="8" fillId="0" borderId="0" xfId="8">
      <alignment wrapText="1"/>
    </xf>
    <xf numFmtId="0" fontId="8" fillId="0" borderId="0" xfId="8" applyAlignment="1">
      <alignment horizontal="left" wrapText="1" indent="1"/>
    </xf>
    <xf numFmtId="0" fontId="8" fillId="0" borderId="0" xfId="8">
      <alignment wrapText="1"/>
    </xf>
    <xf numFmtId="0" fontId="9" fillId="0" borderId="0" xfId="9" applyAlignment="1"/>
    <xf numFmtId="0" fontId="19" fillId="0" borderId="0" xfId="8" applyFont="1" applyAlignment="1">
      <alignment horizontal="left" indent="1"/>
    </xf>
    <xf numFmtId="0" fontId="8" fillId="0" borderId="0" xfId="8">
      <alignment wrapText="1"/>
    </xf>
    <xf numFmtId="0" fontId="8" fillId="0" borderId="0" xfId="8">
      <alignment wrapText="1"/>
    </xf>
    <xf numFmtId="0" fontId="9" fillId="0" borderId="0" xfId="9">
      <alignment wrapText="1"/>
    </xf>
    <xf numFmtId="0" fontId="8" fillId="0" borderId="0" xfId="8" applyAlignment="1">
      <alignment horizontal="left" wrapText="1" indent="1"/>
    </xf>
    <xf numFmtId="0" fontId="9" fillId="0" borderId="0" xfId="9" applyAlignment="1">
      <alignment horizontal="left" wrapText="1"/>
    </xf>
    <xf numFmtId="0" fontId="19" fillId="0" borderId="0" xfId="0" applyFont="1" applyAlignment="1">
      <alignment vertical="center"/>
    </xf>
    <xf numFmtId="0" fontId="36" fillId="0" borderId="0" xfId="8" applyFont="1">
      <alignment wrapText="1"/>
    </xf>
    <xf numFmtId="167" fontId="8" fillId="0" borderId="10" xfId="12">
      <alignment horizontal="right"/>
    </xf>
    <xf numFmtId="0" fontId="34" fillId="0" borderId="0" xfId="0" applyFont="1" applyFill="1"/>
    <xf numFmtId="0" fontId="8" fillId="0" borderId="0" xfId="8" applyAlignment="1">
      <alignment horizontal="left" vertical="top" wrapText="1"/>
    </xf>
    <xf numFmtId="0" fontId="19" fillId="0" borderId="0" xfId="8" applyFont="1" applyAlignment="1">
      <alignment horizontal="left" wrapText="1"/>
    </xf>
    <xf numFmtId="0" fontId="8" fillId="0" borderId="0" xfId="8" applyAlignment="1">
      <alignment horizontal="left" wrapText="1"/>
    </xf>
    <xf numFmtId="0" fontId="8" fillId="0" borderId="0" xfId="8">
      <alignment wrapText="1"/>
    </xf>
    <xf numFmtId="0" fontId="19" fillId="0" borderId="0" xfId="8" applyFont="1" applyFill="1" applyAlignment="1">
      <alignment horizontal="left" wrapText="1"/>
    </xf>
    <xf numFmtId="0" fontId="19" fillId="0" borderId="0" xfId="8" applyFont="1" applyAlignment="1">
      <alignment wrapText="1"/>
    </xf>
    <xf numFmtId="0" fontId="8" fillId="0" borderId="0" xfId="8" applyAlignment="1">
      <alignment horizontal="left" wrapText="1" indent="1"/>
    </xf>
    <xf numFmtId="0" fontId="17" fillId="0" borderId="0" xfId="8" applyFont="1">
      <alignment wrapText="1"/>
    </xf>
    <xf numFmtId="0" fontId="36" fillId="0" borderId="0" xfId="8" applyFont="1" applyAlignment="1">
      <alignment horizontal="left" wrapText="1"/>
    </xf>
    <xf numFmtId="0" fontId="18" fillId="0" borderId="0" xfId="9" applyFont="1">
      <alignment wrapText="1"/>
    </xf>
    <xf numFmtId="0" fontId="38" fillId="0" borderId="0" xfId="9" applyFont="1">
      <alignment wrapText="1"/>
    </xf>
    <xf numFmtId="0" fontId="9" fillId="0" borderId="0" xfId="8" applyFont="1" applyFill="1" applyAlignment="1">
      <alignment wrapText="1"/>
    </xf>
    <xf numFmtId="0" fontId="8" fillId="0" borderId="0" xfId="8" quotePrefix="1" applyAlignment="1">
      <alignment horizontal="left" wrapText="1" indent="3"/>
    </xf>
    <xf numFmtId="0" fontId="37" fillId="0" borderId="0" xfId="8" applyFont="1" applyAlignment="1">
      <alignment wrapText="1"/>
    </xf>
    <xf numFmtId="0" fontId="37" fillId="0" borderId="0" xfId="8" applyFont="1" applyAlignment="1"/>
    <xf numFmtId="0" fontId="8" fillId="0" borderId="0" xfId="9" applyFont="1" applyFill="1" applyAlignment="1"/>
    <xf numFmtId="0" fontId="8" fillId="7" borderId="14" xfId="8" applyFill="1" applyBorder="1">
      <alignment wrapText="1"/>
    </xf>
    <xf numFmtId="0" fontId="8" fillId="7" borderId="15" xfId="8" applyFill="1" applyBorder="1">
      <alignment wrapText="1"/>
    </xf>
    <xf numFmtId="0" fontId="7" fillId="7" borderId="13" xfId="8" applyFont="1" applyFill="1" applyBorder="1" applyAlignment="1"/>
    <xf numFmtId="0" fontId="9" fillId="0" borderId="0" xfId="9">
      <alignment wrapText="1"/>
    </xf>
    <xf numFmtId="0" fontId="8" fillId="0" borderId="0" xfId="8" applyAlignment="1">
      <alignment horizontal="left" wrapText="1" indent="1"/>
    </xf>
    <xf numFmtId="0" fontId="9" fillId="0" borderId="0" xfId="9" applyAlignment="1"/>
    <xf numFmtId="0" fontId="8" fillId="0" borderId="0" xfId="8">
      <alignment wrapText="1"/>
    </xf>
    <xf numFmtId="0" fontId="8" fillId="0" borderId="0" xfId="8" applyFill="1">
      <alignment wrapText="1"/>
    </xf>
    <xf numFmtId="0" fontId="9" fillId="0" borderId="0" xfId="9">
      <alignment wrapText="1"/>
    </xf>
    <xf numFmtId="0" fontId="39" fillId="0" borderId="0" xfId="0" applyFont="1"/>
    <xf numFmtId="0" fontId="19" fillId="0" borderId="0" xfId="8" applyFont="1" applyFill="1">
      <alignment wrapText="1"/>
    </xf>
    <xf numFmtId="0" fontId="7" fillId="0" borderId="0" xfId="8" applyFont="1" applyAlignment="1">
      <alignment vertical="top" wrapText="1"/>
    </xf>
    <xf numFmtId="0" fontId="7" fillId="0" borderId="0" xfId="14" applyFont="1" applyFill="1" applyBorder="1" applyAlignment="1">
      <alignment horizontal="left" vertical="top" wrapText="1"/>
    </xf>
    <xf numFmtId="0" fontId="8" fillId="0" borderId="0" xfId="8" applyFill="1" applyAlignment="1">
      <alignment vertical="top" wrapText="1"/>
    </xf>
    <xf numFmtId="0" fontId="7" fillId="0" borderId="0" xfId="14" applyFont="1" applyFill="1" applyBorder="1" applyAlignment="1">
      <alignment horizontal="left" vertical="top" wrapText="1"/>
    </xf>
    <xf numFmtId="0" fontId="9" fillId="0" borderId="0" xfId="8" applyFont="1" applyAlignment="1">
      <alignment wrapText="1"/>
    </xf>
    <xf numFmtId="0" fontId="7" fillId="0" borderId="0" xfId="14" applyFont="1" applyFill="1" applyBorder="1" applyAlignment="1">
      <alignment horizontal="left" vertical="top" wrapText="1"/>
    </xf>
    <xf numFmtId="168" fontId="7" fillId="0" borderId="0" xfId="13" quotePrefix="1" applyNumberFormat="1" applyFont="1" applyFill="1" applyBorder="1" applyAlignment="1">
      <alignment horizontal="left"/>
    </xf>
    <xf numFmtId="168" fontId="7" fillId="0" borderId="0" xfId="14" applyNumberFormat="1" applyFont="1" applyFill="1" applyBorder="1" applyAlignment="1">
      <alignment horizontal="left"/>
    </xf>
    <xf numFmtId="168" fontId="7" fillId="0" borderId="0" xfId="14" applyNumberFormat="1" applyFont="1" applyFill="1" applyBorder="1" applyAlignment="1">
      <alignment horizontal="left" vertical="top" wrapText="1"/>
    </xf>
    <xf numFmtId="0" fontId="7" fillId="0" borderId="0" xfId="14" applyFont="1"/>
    <xf numFmtId="0" fontId="7" fillId="0" borderId="0" xfId="14" applyFont="1" applyAlignment="1">
      <alignment wrapText="1"/>
    </xf>
    <xf numFmtId="49" fontId="7" fillId="0" borderId="0" xfId="14" applyNumberFormat="1" applyFont="1"/>
    <xf numFmtId="49" fontId="7" fillId="0" borderId="0" xfId="14" applyNumberFormat="1" applyFont="1" applyFill="1" applyBorder="1" applyAlignment="1">
      <alignment horizontal="left" vertical="top" wrapText="1"/>
    </xf>
    <xf numFmtId="0" fontId="7" fillId="0" borderId="0" xfId="14" quotePrefix="1" applyFont="1" applyFill="1" applyBorder="1" applyAlignment="1">
      <alignment horizontal="left" vertical="top" wrapText="1"/>
    </xf>
    <xf numFmtId="0" fontId="7" fillId="0" borderId="0" xfId="14" applyFont="1" applyAlignment="1">
      <alignment vertical="center" wrapText="1"/>
    </xf>
    <xf numFmtId="0" fontId="8" fillId="0" borderId="0" xfId="8">
      <alignment wrapText="1"/>
    </xf>
    <xf numFmtId="0" fontId="8" fillId="0" borderId="0" xfId="8" applyAlignment="1">
      <alignment wrapText="1"/>
    </xf>
    <xf numFmtId="0" fontId="16" fillId="0" borderId="0" xfId="8" applyFont="1" applyFill="1">
      <alignment wrapText="1"/>
    </xf>
    <xf numFmtId="0" fontId="7" fillId="0" borderId="0" xfId="14" applyFont="1" applyFill="1" applyBorder="1" applyAlignment="1">
      <alignment horizontal="left" vertical="top" wrapText="1"/>
    </xf>
    <xf numFmtId="0" fontId="9" fillId="0" borderId="0" xfId="8" applyFont="1" applyAlignment="1">
      <alignment vertical="top" wrapText="1"/>
    </xf>
    <xf numFmtId="0" fontId="8" fillId="0" borderId="0" xfId="8" applyFont="1" applyFill="1" applyAlignment="1">
      <alignment vertical="top" wrapText="1"/>
    </xf>
    <xf numFmtId="0" fontId="7" fillId="8" borderId="0" xfId="14" applyFont="1" applyFill="1" applyBorder="1" applyAlignment="1">
      <alignment wrapText="1"/>
    </xf>
    <xf numFmtId="0" fontId="8" fillId="0" borderId="0" xfId="8">
      <alignment wrapText="1"/>
    </xf>
    <xf numFmtId="0" fontId="16" fillId="0" borderId="0" xfId="8" applyFont="1">
      <alignment wrapText="1"/>
    </xf>
    <xf numFmtId="0" fontId="8" fillId="0" borderId="0" xfId="8" applyAlignment="1">
      <alignment horizontal="left" wrapText="1"/>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9" fillId="0" borderId="0" xfId="8" applyFont="1" applyAlignment="1">
      <alignment vertical="top" wrapText="1"/>
    </xf>
    <xf numFmtId="0" fontId="7" fillId="8" borderId="0" xfId="14" applyFont="1" applyFill="1" applyAlignment="1">
      <alignment vertical="center" wrapText="1"/>
    </xf>
    <xf numFmtId="0" fontId="8" fillId="0" borderId="0" xfId="8">
      <alignment wrapText="1"/>
    </xf>
    <xf numFmtId="0" fontId="16" fillId="0" borderId="0" xfId="8" applyFont="1">
      <alignment wrapText="1"/>
    </xf>
    <xf numFmtId="0" fontId="8" fillId="0" borderId="0" xfId="8" applyAlignment="1">
      <alignment horizontal="left" wrapText="1"/>
    </xf>
    <xf numFmtId="0" fontId="7" fillId="8" borderId="0" xfId="14" applyFont="1" applyFill="1" applyBorder="1" applyAlignment="1">
      <alignment wrapText="1"/>
    </xf>
    <xf numFmtId="0" fontId="8" fillId="0" borderId="0" xfId="8">
      <alignment wrapText="1"/>
    </xf>
    <xf numFmtId="0" fontId="16" fillId="0" borderId="0" xfId="8" applyFont="1">
      <alignment wrapText="1"/>
    </xf>
    <xf numFmtId="0" fontId="8" fillId="0" borderId="0" xfId="8" applyAlignment="1">
      <alignment horizontal="left" wrapText="1"/>
    </xf>
    <xf numFmtId="0" fontId="6" fillId="8" borderId="0" xfId="14" applyFont="1" applyFill="1" applyBorder="1" applyAlignment="1">
      <alignment wrapText="1"/>
    </xf>
    <xf numFmtId="0" fontId="8" fillId="0" borderId="0" xfId="8">
      <alignment wrapText="1"/>
    </xf>
    <xf numFmtId="0" fontId="16" fillId="0" borderId="0" xfId="8" applyFont="1">
      <alignment wrapText="1"/>
    </xf>
    <xf numFmtId="0" fontId="8" fillId="0" borderId="0" xfId="8" applyAlignment="1">
      <alignment horizontal="left" wrapText="1"/>
    </xf>
    <xf numFmtId="0" fontId="6" fillId="8" borderId="0" xfId="14" applyFont="1" applyFill="1" applyBorder="1" applyAlignment="1">
      <alignment wrapText="1"/>
    </xf>
    <xf numFmtId="0" fontId="8" fillId="0" borderId="0" xfId="8">
      <alignment wrapText="1"/>
    </xf>
    <xf numFmtId="0" fontId="16" fillId="0" borderId="0" xfId="8" applyFont="1">
      <alignment wrapText="1"/>
    </xf>
    <xf numFmtId="0" fontId="8" fillId="0" borderId="0" xfId="8" applyAlignment="1">
      <alignment horizontal="left" wrapText="1"/>
    </xf>
    <xf numFmtId="0" fontId="7" fillId="8" borderId="0" xfId="14" applyFont="1" applyFill="1" applyAlignment="1">
      <alignment vertical="center" wrapText="1"/>
    </xf>
    <xf numFmtId="0" fontId="8" fillId="0" borderId="0" xfId="8">
      <alignment wrapText="1"/>
    </xf>
    <xf numFmtId="0" fontId="8" fillId="0" borderId="0" xfId="8" applyAlignment="1">
      <alignment wrapText="1"/>
    </xf>
    <xf numFmtId="0" fontId="9" fillId="0" borderId="0" xfId="8" applyFont="1" applyAlignment="1">
      <alignment wrapText="1"/>
    </xf>
    <xf numFmtId="0" fontId="16" fillId="0" borderId="0" xfId="8" applyFont="1">
      <alignment wrapText="1"/>
    </xf>
    <xf numFmtId="1" fontId="8" fillId="0" borderId="0" xfId="8" applyNumberFormat="1">
      <alignment wrapText="1"/>
    </xf>
    <xf numFmtId="0" fontId="9" fillId="0" borderId="0" xfId="8" applyFont="1" applyAlignment="1"/>
    <xf numFmtId="0" fontId="8" fillId="0" borderId="0" xfId="8" applyAlignment="1">
      <alignment horizontal="left" wrapText="1" indent="1"/>
    </xf>
    <xf numFmtId="0" fontId="8" fillId="0" borderId="0" xfId="8" applyFont="1" applyAlignment="1">
      <alignment wrapText="1"/>
    </xf>
    <xf numFmtId="0" fontId="8" fillId="0" borderId="0" xfId="8" applyAlignment="1">
      <alignment horizontal="left" wrapText="1"/>
    </xf>
    <xf numFmtId="0" fontId="7" fillId="8" borderId="0" xfId="14" applyFont="1" applyFill="1" applyAlignment="1">
      <alignment vertical="center" wrapText="1"/>
    </xf>
    <xf numFmtId="0" fontId="7" fillId="0" borderId="0" xfId="14" applyFont="1" applyFill="1" applyBorder="1" applyAlignment="1">
      <alignment horizontal="left" wrapText="1"/>
    </xf>
    <xf numFmtId="0" fontId="6" fillId="0" borderId="0" xfId="14" applyFont="1" applyFill="1" applyBorder="1" applyAlignment="1">
      <alignment horizontal="left" wrapText="1"/>
    </xf>
    <xf numFmtId="0" fontId="8" fillId="0" borderId="0" xfId="8">
      <alignment wrapText="1"/>
    </xf>
    <xf numFmtId="0" fontId="8" fillId="0" borderId="0" xfId="8" applyAlignment="1">
      <alignment wrapText="1"/>
    </xf>
    <xf numFmtId="0" fontId="9" fillId="0" borderId="0" xfId="8" applyFont="1" applyAlignment="1">
      <alignment wrapText="1"/>
    </xf>
    <xf numFmtId="0" fontId="16" fillId="0" borderId="0" xfId="8" applyFont="1">
      <alignment wrapText="1"/>
    </xf>
    <xf numFmtId="0" fontId="9" fillId="0" borderId="0" xfId="8" applyFont="1" applyAlignment="1"/>
    <xf numFmtId="0" fontId="8" fillId="0" borderId="0" xfId="8" applyFont="1" applyAlignment="1">
      <alignment wrapText="1"/>
    </xf>
    <xf numFmtId="0" fontId="8" fillId="0" borderId="0" xfId="8" applyAlignment="1">
      <alignment horizontal="left" wrapText="1"/>
    </xf>
    <xf numFmtId="0" fontId="7" fillId="0" borderId="0" xfId="14" applyFont="1" applyFill="1" applyBorder="1" applyAlignment="1">
      <alignment wrapText="1"/>
    </xf>
    <xf numFmtId="0" fontId="19" fillId="0" borderId="0" xfId="8" applyFont="1" applyAlignment="1">
      <alignment horizontal="left" wrapText="1"/>
    </xf>
    <xf numFmtId="0" fontId="8" fillId="0" borderId="0" xfId="8">
      <alignment wrapText="1"/>
    </xf>
    <xf numFmtId="0" fontId="16" fillId="0" borderId="0" xfId="8" applyFont="1">
      <alignment wrapText="1"/>
    </xf>
    <xf numFmtId="0" fontId="8" fillId="0" borderId="0" xfId="8" applyAlignment="1">
      <alignment horizontal="left" wrapText="1"/>
    </xf>
    <xf numFmtId="0" fontId="7" fillId="0" borderId="0" xfId="0" applyFont="1" applyAlignment="1">
      <alignment vertical="top" wrapText="1"/>
    </xf>
    <xf numFmtId="0" fontId="8" fillId="0" borderId="0" xfId="8">
      <alignment wrapText="1"/>
    </xf>
    <xf numFmtId="0" fontId="8" fillId="0" borderId="0" xfId="8" applyAlignment="1">
      <alignment wrapText="1"/>
    </xf>
    <xf numFmtId="0" fontId="16" fillId="0" borderId="0" xfId="8" applyFont="1">
      <alignment wrapText="1"/>
    </xf>
    <xf numFmtId="0" fontId="7" fillId="0" borderId="0" xfId="14" applyFont="1" applyAlignment="1">
      <alignment vertical="center" wrapText="1"/>
    </xf>
    <xf numFmtId="0" fontId="7" fillId="0" borderId="0" xfId="14" applyFont="1" applyFill="1" applyBorder="1" applyAlignment="1">
      <alignment wrapText="1"/>
    </xf>
    <xf numFmtId="0" fontId="7" fillId="0" borderId="0" xfId="0" applyFont="1" applyAlignment="1">
      <alignment vertical="top" wrapText="1"/>
    </xf>
    <xf numFmtId="0" fontId="7" fillId="0" borderId="0" xfId="14" applyFont="1" applyFill="1" applyBorder="1" applyAlignment="1">
      <alignment vertical="top" wrapText="1"/>
    </xf>
    <xf numFmtId="0" fontId="6" fillId="0" borderId="0" xfId="0" applyFont="1" applyAlignment="1">
      <alignment vertical="top" wrapText="1"/>
    </xf>
    <xf numFmtId="168" fontId="7" fillId="0" borderId="0" xfId="14" applyNumberFormat="1" applyFont="1" applyFill="1" applyBorder="1" applyAlignment="1">
      <alignment wrapText="1"/>
    </xf>
    <xf numFmtId="0" fontId="8" fillId="0" borderId="0" xfId="8">
      <alignment wrapText="1"/>
    </xf>
    <xf numFmtId="0" fontId="8" fillId="0" borderId="0" xfId="8" applyAlignment="1">
      <alignment wrapText="1"/>
    </xf>
    <xf numFmtId="0" fontId="16" fillId="0" borderId="0" xfId="8" applyFont="1">
      <alignment wrapText="1"/>
    </xf>
    <xf numFmtId="0" fontId="7" fillId="0" borderId="0" xfId="14" applyFont="1" applyFill="1" applyBorder="1" applyAlignment="1">
      <alignment wrapText="1"/>
    </xf>
    <xf numFmtId="0" fontId="6" fillId="0" borderId="0" xfId="0" applyFont="1" applyAlignment="1">
      <alignment vertical="top" wrapText="1"/>
    </xf>
    <xf numFmtId="0" fontId="8" fillId="0" borderId="0" xfId="8">
      <alignment wrapText="1"/>
    </xf>
    <xf numFmtId="0" fontId="8" fillId="0" borderId="0" xfId="8" applyAlignment="1">
      <alignment wrapText="1"/>
    </xf>
    <xf numFmtId="0" fontId="16" fillId="0" borderId="0" xfId="8" applyFont="1">
      <alignment wrapText="1"/>
    </xf>
    <xf numFmtId="0" fontId="19" fillId="0" borderId="0" xfId="8" applyFont="1" applyAlignment="1">
      <alignment wrapText="1"/>
    </xf>
    <xf numFmtId="0" fontId="8" fillId="0" borderId="0" xfId="8" applyAlignment="1">
      <alignment horizontal="left" wrapText="1"/>
    </xf>
    <xf numFmtId="0" fontId="6" fillId="0" borderId="0" xfId="8" applyFont="1" applyAlignment="1">
      <alignment wrapText="1"/>
    </xf>
    <xf numFmtId="0" fontId="7" fillId="0" borderId="0" xfId="8" applyFont="1" applyAlignment="1">
      <alignment horizontal="left" wrapText="1"/>
    </xf>
    <xf numFmtId="0" fontId="7" fillId="0" borderId="0" xfId="0" applyFont="1" applyAlignment="1">
      <alignment wrapText="1"/>
    </xf>
    <xf numFmtId="0" fontId="8" fillId="0" borderId="0" xfId="9" applyFont="1" applyAlignment="1">
      <alignment horizontal="left" vertical="top"/>
    </xf>
    <xf numFmtId="0" fontId="0" fillId="0" borderId="0" xfId="0"/>
    <xf numFmtId="0" fontId="8" fillId="0" borderId="0" xfId="0" applyFont="1" applyBorder="1"/>
    <xf numFmtId="0" fontId="8" fillId="0" borderId="0" xfId="8">
      <alignment wrapText="1"/>
    </xf>
    <xf numFmtId="0" fontId="9" fillId="0" borderId="0" xfId="9">
      <alignment wrapText="1"/>
    </xf>
    <xf numFmtId="165" fontId="8" fillId="0" borderId="0" xfId="1" applyNumberFormat="1" applyFont="1" applyAlignment="1">
      <alignment vertical="center"/>
    </xf>
    <xf numFmtId="165" fontId="8" fillId="0" borderId="0" xfId="1" applyNumberFormat="1" applyFont="1" applyAlignment="1">
      <alignment vertical="center" wrapText="1"/>
    </xf>
    <xf numFmtId="0" fontId="8" fillId="0" borderId="0" xfId="8" applyAlignment="1">
      <alignment horizontal="left" vertical="center" wrapText="1"/>
    </xf>
    <xf numFmtId="0" fontId="16" fillId="0" borderId="0" xfId="8" applyFont="1">
      <alignment wrapText="1"/>
    </xf>
    <xf numFmtId="166" fontId="8" fillId="0" borderId="0" xfId="10">
      <alignment horizontal="right"/>
    </xf>
    <xf numFmtId="166" fontId="9" fillId="0" borderId="10" xfId="7">
      <alignment horizontal="right"/>
    </xf>
    <xf numFmtId="166" fontId="9" fillId="0" borderId="0" xfId="11">
      <alignment horizontal="right"/>
    </xf>
    <xf numFmtId="0" fontId="9" fillId="0" borderId="0" xfId="9" applyAlignment="1">
      <alignment horizontal="right" wrapText="1"/>
    </xf>
    <xf numFmtId="0" fontId="9" fillId="0" borderId="0" xfId="9" applyAlignment="1"/>
    <xf numFmtId="0" fontId="8" fillId="0" borderId="0" xfId="8" applyAlignment="1">
      <alignment horizontal="left" wrapText="1" indent="1"/>
    </xf>
    <xf numFmtId="0" fontId="8" fillId="0" borderId="0" xfId="8" applyAlignment="1"/>
    <xf numFmtId="0" fontId="8" fillId="0" borderId="0" xfId="0" applyFont="1" applyAlignment="1">
      <alignment horizontal="left" vertical="center" indent="1"/>
    </xf>
    <xf numFmtId="0" fontId="9" fillId="0" borderId="0" xfId="0" applyFont="1" applyAlignment="1">
      <alignment vertical="center"/>
    </xf>
    <xf numFmtId="0" fontId="8" fillId="0" borderId="0" xfId="8" applyAlignment="1">
      <alignment horizontal="left" vertical="top" wrapText="1"/>
    </xf>
    <xf numFmtId="166" fontId="8" fillId="0" borderId="0" xfId="11" applyFont="1">
      <alignment horizontal="right"/>
    </xf>
    <xf numFmtId="0" fontId="8" fillId="0" borderId="0" xfId="9" applyFont="1" applyAlignment="1">
      <alignment horizontal="left" vertical="top" wrapText="1"/>
    </xf>
    <xf numFmtId="0" fontId="9" fillId="0" borderId="0" xfId="8" applyFont="1" applyAlignment="1">
      <alignment horizontal="left" vertical="top" wrapText="1"/>
    </xf>
    <xf numFmtId="0" fontId="8" fillId="0" borderId="0" xfId="8">
      <alignment wrapText="1"/>
    </xf>
    <xf numFmtId="0" fontId="9" fillId="0" borderId="0" xfId="9">
      <alignment wrapText="1"/>
    </xf>
    <xf numFmtId="0" fontId="16" fillId="0" borderId="0" xfId="8" applyFont="1">
      <alignment wrapText="1"/>
    </xf>
    <xf numFmtId="166" fontId="8" fillId="0" borderId="0" xfId="10">
      <alignment horizontal="right"/>
    </xf>
    <xf numFmtId="0" fontId="19" fillId="0" borderId="0" xfId="8" applyFont="1" applyAlignment="1"/>
    <xf numFmtId="0" fontId="8" fillId="0" borderId="0" xfId="8">
      <alignment wrapText="1"/>
    </xf>
    <xf numFmtId="0" fontId="9" fillId="0" borderId="0" xfId="9">
      <alignment wrapText="1"/>
    </xf>
    <xf numFmtId="0" fontId="8" fillId="0" borderId="0" xfId="8" applyAlignment="1">
      <alignment horizontal="left" wrapText="1" indent="1"/>
    </xf>
    <xf numFmtId="0" fontId="8" fillId="0" borderId="0" xfId="8" applyFill="1">
      <alignment wrapText="1"/>
    </xf>
    <xf numFmtId="0" fontId="9" fillId="0" borderId="0" xfId="9" applyAlignment="1">
      <alignment horizontal="right" wrapText="1"/>
    </xf>
    <xf numFmtId="0" fontId="9" fillId="0" borderId="0" xfId="9" applyAlignment="1"/>
    <xf numFmtId="0" fontId="20" fillId="0" borderId="0" xfId="8" applyFont="1">
      <alignment wrapText="1"/>
    </xf>
    <xf numFmtId="0" fontId="6" fillId="0" borderId="0" xfId="9" applyFont="1" applyAlignment="1"/>
    <xf numFmtId="0" fontId="8" fillId="0" borderId="0" xfId="8" applyFill="1" applyBorder="1">
      <alignment wrapText="1"/>
    </xf>
    <xf numFmtId="166" fontId="9" fillId="0" borderId="10" xfId="8" applyNumberFormat="1" applyFont="1" applyBorder="1">
      <alignment wrapText="1"/>
    </xf>
    <xf numFmtId="0" fontId="8" fillId="0" borderId="0" xfId="9" applyFont="1" applyAlignment="1">
      <alignment vertical="center"/>
    </xf>
    <xf numFmtId="49" fontId="6" fillId="0" borderId="0" xfId="0" applyNumberFormat="1" applyFont="1" applyFill="1" applyBorder="1" applyAlignment="1"/>
    <xf numFmtId="0" fontId="0" fillId="0" borderId="0" xfId="0"/>
    <xf numFmtId="0" fontId="8" fillId="0" borderId="0" xfId="8">
      <alignment wrapText="1"/>
    </xf>
    <xf numFmtId="0" fontId="8" fillId="0" borderId="0" xfId="8" applyFill="1">
      <alignment wrapText="1"/>
    </xf>
    <xf numFmtId="165" fontId="9" fillId="0" borderId="0" xfId="1" applyNumberFormat="1" applyFont="1" applyAlignment="1">
      <alignment vertical="center"/>
    </xf>
    <xf numFmtId="0" fontId="8" fillId="0" borderId="0" xfId="8" applyFill="1" applyAlignment="1">
      <alignment vertical="center"/>
    </xf>
    <xf numFmtId="166" fontId="8" fillId="0" borderId="0" xfId="10">
      <alignment horizontal="right"/>
    </xf>
    <xf numFmtId="0" fontId="9" fillId="0" borderId="0" xfId="9" applyAlignment="1">
      <alignment horizontal="right" wrapText="1"/>
    </xf>
    <xf numFmtId="0" fontId="8" fillId="0" borderId="0" xfId="9" applyFont="1" applyAlignment="1">
      <alignment horizontal="right" wrapText="1"/>
    </xf>
    <xf numFmtId="0" fontId="8" fillId="0" borderId="0" xfId="8" applyFont="1" applyFill="1">
      <alignment wrapText="1"/>
    </xf>
    <xf numFmtId="49" fontId="44" fillId="0" borderId="0" xfId="0" applyNumberFormat="1" applyFont="1" applyFill="1" applyBorder="1" applyAlignment="1"/>
    <xf numFmtId="168" fontId="40" fillId="0" borderId="0" xfId="0" applyNumberFormat="1" applyFont="1" applyFill="1" applyBorder="1"/>
    <xf numFmtId="49" fontId="40" fillId="0" borderId="0" xfId="0" applyNumberFormat="1" applyFont="1" applyFill="1" applyBorder="1" applyAlignment="1"/>
    <xf numFmtId="49" fontId="40" fillId="0" borderId="0" xfId="17" applyNumberFormat="1" applyBorder="1" applyAlignment="1"/>
    <xf numFmtId="168" fontId="7" fillId="0" borderId="0" xfId="0" applyNumberFormat="1" applyFont="1" applyFill="1" applyBorder="1"/>
    <xf numFmtId="168" fontId="40" fillId="0" borderId="0" xfId="0" applyNumberFormat="1" applyFont="1" applyFill="1" applyBorder="1" applyAlignment="1">
      <alignment horizontal="right"/>
    </xf>
    <xf numFmtId="168" fontId="44" fillId="0" borderId="0" xfId="0" applyNumberFormat="1" applyFont="1" applyFill="1" applyBorder="1" applyAlignment="1">
      <alignment horizontal="right"/>
    </xf>
    <xf numFmtId="0" fontId="9" fillId="0" borderId="0" xfId="8" applyFont="1" applyAlignment="1">
      <alignment horizontal="right" wrapText="1"/>
    </xf>
    <xf numFmtId="0" fontId="0" fillId="0" borderId="0" xfId="0" applyAlignment="1">
      <alignment horizontal="center" wrapText="1"/>
    </xf>
    <xf numFmtId="0" fontId="8" fillId="0" borderId="0" xfId="8" applyFont="1" applyFill="1" applyBorder="1">
      <alignment wrapText="1"/>
    </xf>
    <xf numFmtId="49" fontId="12" fillId="0" borderId="0" xfId="17" applyNumberFormat="1" applyFont="1" applyBorder="1" applyAlignment="1"/>
    <xf numFmtId="0" fontId="8" fillId="0" borderId="0" xfId="8">
      <alignment wrapText="1"/>
    </xf>
    <xf numFmtId="0" fontId="9" fillId="0" borderId="0" xfId="9">
      <alignment wrapText="1"/>
    </xf>
    <xf numFmtId="0" fontId="9" fillId="0" borderId="0" xfId="9" applyAlignment="1">
      <alignment vertical="center"/>
    </xf>
    <xf numFmtId="0" fontId="16" fillId="0" borderId="0" xfId="8" applyFont="1">
      <alignment wrapText="1"/>
    </xf>
    <xf numFmtId="0" fontId="17" fillId="0" borderId="0" xfId="9" applyFont="1">
      <alignment wrapText="1"/>
    </xf>
    <xf numFmtId="166" fontId="8" fillId="0" borderId="0" xfId="10">
      <alignment horizontal="right"/>
    </xf>
    <xf numFmtId="0" fontId="9" fillId="0" borderId="0" xfId="9" applyFill="1">
      <alignment wrapText="1"/>
    </xf>
    <xf numFmtId="166" fontId="9" fillId="0" borderId="0" xfId="11">
      <alignment horizontal="right"/>
    </xf>
    <xf numFmtId="166" fontId="9" fillId="0" borderId="0" xfId="7" applyBorder="1">
      <alignment horizontal="right"/>
    </xf>
    <xf numFmtId="166" fontId="8" fillId="0" borderId="0" xfId="10" applyBorder="1">
      <alignment horizontal="right"/>
    </xf>
    <xf numFmtId="0" fontId="9" fillId="0" borderId="0" xfId="9" applyAlignment="1">
      <alignment horizontal="right" wrapText="1"/>
    </xf>
    <xf numFmtId="0" fontId="9" fillId="0" borderId="0" xfId="9" applyAlignment="1"/>
    <xf numFmtId="0" fontId="8" fillId="0" borderId="0" xfId="8" applyAlignment="1">
      <alignment horizontal="left" wrapText="1"/>
    </xf>
    <xf numFmtId="166" fontId="9" fillId="0" borderId="12" xfId="7" applyBorder="1">
      <alignment horizontal="right"/>
    </xf>
    <xf numFmtId="166" fontId="8" fillId="0" borderId="0" xfId="10" applyFont="1">
      <alignment horizontal="right"/>
    </xf>
    <xf numFmtId="166" fontId="8" fillId="0" borderId="10" xfId="7" applyFont="1">
      <alignment horizontal="right"/>
    </xf>
    <xf numFmtId="0" fontId="8" fillId="0" borderId="0" xfId="9" applyFont="1" applyAlignment="1">
      <alignment horizontal="right" wrapText="1"/>
    </xf>
    <xf numFmtId="165" fontId="8" fillId="0" borderId="0" xfId="1" applyNumberFormat="1" applyFont="1" applyBorder="1" applyAlignment="1">
      <alignment horizontal="right"/>
    </xf>
    <xf numFmtId="168" fontId="7" fillId="0" borderId="10" xfId="0" applyNumberFormat="1" applyFont="1" applyFill="1" applyBorder="1"/>
    <xf numFmtId="0" fontId="0" fillId="0" borderId="0" xfId="0" applyAlignment="1"/>
    <xf numFmtId="166" fontId="9" fillId="0" borderId="10" xfId="7" applyBorder="1">
      <alignment horizontal="right"/>
    </xf>
    <xf numFmtId="0" fontId="7" fillId="0" borderId="0" xfId="8" applyFont="1">
      <alignment wrapText="1"/>
    </xf>
    <xf numFmtId="0" fontId="8" fillId="0" borderId="0" xfId="9" applyFont="1" applyAlignment="1">
      <alignment horizontal="left" wrapText="1"/>
    </xf>
    <xf numFmtId="0" fontId="8" fillId="0" borderId="0" xfId="8" applyFont="1" applyAlignment="1">
      <alignment vertical="center"/>
    </xf>
    <xf numFmtId="0" fontId="7" fillId="0" borderId="0" xfId="8" applyFont="1" applyAlignment="1">
      <alignment vertical="center" wrapText="1"/>
    </xf>
    <xf numFmtId="0" fontId="8" fillId="0" borderId="0" xfId="8">
      <alignment wrapText="1"/>
    </xf>
    <xf numFmtId="0" fontId="16" fillId="0" borderId="0" xfId="8" applyFont="1">
      <alignment wrapText="1"/>
    </xf>
    <xf numFmtId="0" fontId="0" fillId="0" borderId="0" xfId="0" applyAlignment="1">
      <alignment wrapText="1"/>
    </xf>
    <xf numFmtId="168" fontId="7" fillId="0" borderId="0" xfId="0" applyNumberFormat="1" applyFont="1" applyFill="1" applyBorder="1"/>
    <xf numFmtId="0" fontId="45" fillId="0" borderId="0" xfId="0" applyFont="1"/>
    <xf numFmtId="49" fontId="6" fillId="0" borderId="0" xfId="0" applyNumberFormat="1" applyFont="1" applyAlignment="1"/>
    <xf numFmtId="0" fontId="7" fillId="0" borderId="0" xfId="0" applyFont="1"/>
    <xf numFmtId="0" fontId="7" fillId="0" borderId="0" xfId="0" applyFont="1" applyAlignment="1">
      <alignment horizontal="left" wrapText="1"/>
    </xf>
    <xf numFmtId="0" fontId="0" fillId="0" borderId="0" xfId="0" applyFont="1" applyAlignment="1">
      <alignment horizontal="left" wrapText="1"/>
    </xf>
    <xf numFmtId="0" fontId="8" fillId="0" borderId="0" xfId="8">
      <alignment wrapText="1"/>
    </xf>
    <xf numFmtId="0" fontId="16" fillId="0" borderId="0" xfId="8" applyFont="1">
      <alignment wrapText="1"/>
    </xf>
    <xf numFmtId="0" fontId="0" fillId="0" borderId="0" xfId="0" applyAlignment="1">
      <alignment wrapText="1"/>
    </xf>
    <xf numFmtId="168" fontId="7" fillId="0" borderId="0" xfId="0" applyNumberFormat="1" applyFont="1" applyFill="1" applyBorder="1"/>
    <xf numFmtId="0" fontId="45" fillId="0" borderId="0" xfId="0" applyFont="1"/>
    <xf numFmtId="49" fontId="6" fillId="0" borderId="0" xfId="0" applyNumberFormat="1" applyFont="1" applyAlignment="1"/>
    <xf numFmtId="0" fontId="7" fillId="0" borderId="0" xfId="0" applyFont="1"/>
    <xf numFmtId="0" fontId="7" fillId="0" borderId="0" xfId="0" applyFont="1" applyAlignment="1">
      <alignment horizontal="left" wrapText="1"/>
    </xf>
    <xf numFmtId="0" fontId="0" fillId="0" borderId="0" xfId="0"/>
    <xf numFmtId="0" fontId="8" fillId="0" borderId="0" xfId="8">
      <alignment wrapText="1"/>
    </xf>
    <xf numFmtId="0" fontId="9" fillId="0" borderId="0" xfId="9">
      <alignment wrapText="1"/>
    </xf>
    <xf numFmtId="0" fontId="9" fillId="0" borderId="0" xfId="9" applyAlignment="1">
      <alignment vertical="center"/>
    </xf>
    <xf numFmtId="0" fontId="8" fillId="0" borderId="0" xfId="8" applyFill="1">
      <alignment wrapText="1"/>
    </xf>
    <xf numFmtId="165" fontId="8" fillId="0" borderId="0" xfId="1" applyNumberFormat="1" applyFont="1" applyAlignment="1">
      <alignment vertical="center"/>
    </xf>
    <xf numFmtId="165" fontId="8" fillId="0" borderId="0" xfId="1" applyNumberFormat="1" applyFont="1" applyAlignment="1">
      <alignment vertical="center" wrapText="1"/>
    </xf>
    <xf numFmtId="165" fontId="9" fillId="0" borderId="0" xfId="1" applyNumberFormat="1" applyFont="1" applyAlignment="1">
      <alignment vertical="center" wrapText="1"/>
    </xf>
    <xf numFmtId="165" fontId="9" fillId="0" borderId="0" xfId="1" applyNumberFormat="1" applyFont="1" applyBorder="1" applyAlignment="1">
      <alignment horizontal="right"/>
    </xf>
    <xf numFmtId="0" fontId="9" fillId="0" borderId="0" xfId="8" applyFont="1" applyAlignment="1">
      <alignment horizontal="left" wrapText="1"/>
    </xf>
    <xf numFmtId="0" fontId="8" fillId="0" borderId="0" xfId="8" applyFont="1">
      <alignment wrapText="1"/>
    </xf>
    <xf numFmtId="0" fontId="16" fillId="0" borderId="0" xfId="8" applyFont="1">
      <alignment wrapText="1"/>
    </xf>
    <xf numFmtId="0" fontId="0" fillId="0" borderId="0" xfId="0" applyFill="1"/>
    <xf numFmtId="166" fontId="8" fillId="0" borderId="0" xfId="10">
      <alignment horizontal="right"/>
    </xf>
    <xf numFmtId="166" fontId="9" fillId="0" borderId="10" xfId="7">
      <alignment horizontal="right"/>
    </xf>
    <xf numFmtId="166" fontId="9" fillId="0" borderId="11" xfId="6">
      <alignment horizontal="right"/>
    </xf>
    <xf numFmtId="0" fontId="9" fillId="0" borderId="0" xfId="9" applyFill="1">
      <alignment wrapText="1"/>
    </xf>
    <xf numFmtId="166" fontId="9" fillId="0" borderId="0" xfId="11">
      <alignment horizontal="right"/>
    </xf>
    <xf numFmtId="0" fontId="9" fillId="0" borderId="0" xfId="9" applyAlignment="1">
      <alignment horizontal="right" wrapText="1"/>
    </xf>
    <xf numFmtId="0" fontId="9" fillId="0" borderId="0" xfId="9" applyAlignment="1"/>
    <xf numFmtId="0" fontId="8" fillId="0" borderId="0" xfId="8" applyAlignment="1">
      <alignment horizontal="left" wrapText="1" indent="1"/>
    </xf>
    <xf numFmtId="0" fontId="9" fillId="0" borderId="0" xfId="9" applyFill="1" applyAlignment="1"/>
    <xf numFmtId="0" fontId="8" fillId="0" borderId="0" xfId="8" applyAlignment="1"/>
    <xf numFmtId="0" fontId="9" fillId="0" borderId="0" xfId="9" applyFill="1" applyAlignment="1">
      <alignment horizontal="right" wrapText="1"/>
    </xf>
    <xf numFmtId="166" fontId="9" fillId="0" borderId="10" xfId="7" applyFill="1">
      <alignment horizontal="right"/>
    </xf>
    <xf numFmtId="165" fontId="9" fillId="0" borderId="0" xfId="1" applyNumberFormat="1" applyFont="1" applyFill="1" applyBorder="1" applyAlignment="1">
      <alignment horizontal="right"/>
    </xf>
    <xf numFmtId="0" fontId="8" fillId="0" borderId="0" xfId="8" quotePrefix="1" applyFill="1" applyAlignment="1">
      <alignment horizontal="left" wrapText="1" indent="1"/>
    </xf>
    <xf numFmtId="0" fontId="9" fillId="0" borderId="0" xfId="9" quotePrefix="1" applyFill="1" applyAlignment="1">
      <alignment vertical="center" wrapText="1"/>
    </xf>
    <xf numFmtId="166" fontId="8" fillId="0" borderId="0" xfId="11" applyFont="1">
      <alignment horizontal="right"/>
    </xf>
    <xf numFmtId="0" fontId="0" fillId="0" borderId="0" xfId="0" applyAlignment="1">
      <alignment wrapText="1"/>
    </xf>
    <xf numFmtId="166" fontId="8" fillId="0" borderId="0" xfId="10" applyFont="1">
      <alignment horizontal="right"/>
    </xf>
    <xf numFmtId="166" fontId="8" fillId="0" borderId="10" xfId="7" applyFont="1">
      <alignment horizontal="right"/>
    </xf>
    <xf numFmtId="0" fontId="8" fillId="0" borderId="0" xfId="9" applyFont="1" applyAlignment="1">
      <alignment horizontal="right" wrapText="1"/>
    </xf>
    <xf numFmtId="0" fontId="8" fillId="0" borderId="0" xfId="8" applyFont="1" applyFill="1">
      <alignment wrapText="1"/>
    </xf>
    <xf numFmtId="166" fontId="8" fillId="0" borderId="0" xfId="10" applyFont="1" applyFill="1">
      <alignment horizontal="right"/>
    </xf>
    <xf numFmtId="165" fontId="8" fillId="0" borderId="0" xfId="1" applyNumberFormat="1" applyFont="1" applyBorder="1" applyAlignment="1">
      <alignment horizontal="right"/>
    </xf>
    <xf numFmtId="168" fontId="7" fillId="0" borderId="0" xfId="0" applyNumberFormat="1" applyFont="1" applyFill="1" applyBorder="1"/>
    <xf numFmtId="0" fontId="8" fillId="0" borderId="0" xfId="9" applyFont="1" applyFill="1" applyAlignment="1">
      <alignment horizontal="right" wrapText="1"/>
    </xf>
    <xf numFmtId="165" fontId="8" fillId="0" borderId="0" xfId="1" applyNumberFormat="1" applyFont="1" applyFill="1" applyBorder="1" applyAlignment="1">
      <alignment horizontal="right"/>
    </xf>
    <xf numFmtId="0" fontId="45" fillId="0" borderId="0" xfId="0" applyFont="1"/>
    <xf numFmtId="49" fontId="6" fillId="0" borderId="0" xfId="0" applyNumberFormat="1" applyFont="1" applyAlignment="1"/>
    <xf numFmtId="0" fontId="7" fillId="0" borderId="0" xfId="0" applyFont="1"/>
    <xf numFmtId="0" fontId="7" fillId="0" borderId="0" xfId="0" applyFont="1" applyAlignment="1">
      <alignment horizontal="left" wrapText="1"/>
    </xf>
    <xf numFmtId="167" fontId="8" fillId="0" borderId="10" xfId="12" applyFont="1">
      <alignment horizontal="right"/>
    </xf>
    <xf numFmtId="0" fontId="8" fillId="0" borderId="0" xfId="8">
      <alignment wrapText="1"/>
    </xf>
    <xf numFmtId="0" fontId="16" fillId="0" borderId="0" xfId="8" applyFont="1">
      <alignment wrapText="1"/>
    </xf>
    <xf numFmtId="0" fontId="7" fillId="0" borderId="0" xfId="0" applyFont="1" applyAlignment="1">
      <alignment wrapText="1"/>
    </xf>
    <xf numFmtId="0" fontId="44" fillId="0" borderId="0" xfId="0" applyFont="1" applyAlignment="1">
      <alignment horizontal="left" wrapText="1"/>
    </xf>
    <xf numFmtId="0" fontId="40" fillId="0" borderId="0" xfId="0" applyFont="1" applyFill="1" applyBorder="1" applyAlignment="1">
      <alignment horizontal="left" wrapText="1"/>
    </xf>
    <xf numFmtId="49" fontId="44" fillId="0" borderId="0" xfId="0" applyNumberFormat="1" applyFont="1" applyAlignment="1">
      <alignment horizontal="left" wrapText="1"/>
    </xf>
    <xf numFmtId="49" fontId="44" fillId="0" borderId="0" xfId="0" applyNumberFormat="1" applyFont="1" applyAlignment="1">
      <alignment horizontal="left" wrapText="1"/>
    </xf>
    <xf numFmtId="49" fontId="44" fillId="0" borderId="0" xfId="0" applyNumberFormat="1" applyFont="1" applyAlignment="1">
      <alignment horizontal="left" wrapText="1"/>
    </xf>
    <xf numFmtId="0" fontId="0" fillId="0" borderId="0" xfId="0"/>
    <xf numFmtId="0" fontId="8" fillId="0" borderId="0" xfId="8">
      <alignment wrapText="1"/>
    </xf>
    <xf numFmtId="0" fontId="9" fillId="0" borderId="0" xfId="9">
      <alignment wrapText="1"/>
    </xf>
    <xf numFmtId="0" fontId="8" fillId="0" borderId="0" xfId="8" applyAlignment="1">
      <alignment vertical="center"/>
    </xf>
    <xf numFmtId="165" fontId="8" fillId="0" borderId="0" xfId="1" applyNumberFormat="1" applyFont="1" applyAlignment="1">
      <alignment vertical="center"/>
    </xf>
    <xf numFmtId="0" fontId="8" fillId="0" borderId="0" xfId="8" applyAlignment="1">
      <alignment horizontal="left" vertical="center" wrapText="1"/>
    </xf>
    <xf numFmtId="0" fontId="8" fillId="0" borderId="0" xfId="8" applyFont="1">
      <alignment wrapText="1"/>
    </xf>
    <xf numFmtId="0" fontId="16" fillId="0" borderId="0" xfId="8" applyFont="1">
      <alignment wrapText="1"/>
    </xf>
    <xf numFmtId="166" fontId="8" fillId="0" borderId="0" xfId="10">
      <alignment horizontal="right"/>
    </xf>
    <xf numFmtId="166" fontId="9" fillId="0" borderId="10" xfId="7">
      <alignment horizontal="right"/>
    </xf>
    <xf numFmtId="166" fontId="9" fillId="0" borderId="0" xfId="11">
      <alignment horizontal="right"/>
    </xf>
    <xf numFmtId="166" fontId="9" fillId="0" borderId="0" xfId="7" applyBorder="1">
      <alignment horizontal="right"/>
    </xf>
    <xf numFmtId="166" fontId="9" fillId="0" borderId="0" xfId="6" applyBorder="1">
      <alignment horizontal="right"/>
    </xf>
    <xf numFmtId="0" fontId="9" fillId="0" borderId="0" xfId="9" applyAlignment="1">
      <alignment horizontal="right" wrapText="1"/>
    </xf>
    <xf numFmtId="0" fontId="9" fillId="0" borderId="0" xfId="9" applyAlignment="1"/>
    <xf numFmtId="0" fontId="19" fillId="0" borderId="0" xfId="8" applyFont="1" applyAlignment="1">
      <alignment horizontal="left" wrapText="1"/>
    </xf>
    <xf numFmtId="0" fontId="19" fillId="0" borderId="0" xfId="8" applyFont="1" applyAlignment="1">
      <alignment vertical="center" wrapText="1"/>
    </xf>
    <xf numFmtId="0" fontId="8" fillId="0" borderId="0" xfId="8" applyAlignment="1"/>
    <xf numFmtId="0" fontId="8" fillId="0" borderId="0" xfId="8" applyAlignment="1">
      <alignment horizontal="left" wrapText="1"/>
    </xf>
    <xf numFmtId="0" fontId="8" fillId="0" borderId="0" xfId="8" applyAlignment="1">
      <alignment horizontal="left" indent="1"/>
    </xf>
    <xf numFmtId="0" fontId="19" fillId="0" borderId="0" xfId="8" applyFont="1" applyAlignment="1"/>
    <xf numFmtId="0" fontId="19" fillId="0" borderId="0" xfId="8" applyFont="1">
      <alignment wrapText="1"/>
    </xf>
    <xf numFmtId="0" fontId="9" fillId="0" borderId="0" xfId="8" applyFont="1" applyAlignment="1">
      <alignment horizontal="left"/>
    </xf>
    <xf numFmtId="166" fontId="9" fillId="0" borderId="12" xfId="6" applyBorder="1">
      <alignment horizontal="right"/>
    </xf>
    <xf numFmtId="166" fontId="8" fillId="0" borderId="0" xfId="10" applyFont="1">
      <alignment horizontal="right"/>
    </xf>
    <xf numFmtId="166" fontId="8" fillId="0" borderId="11" xfId="6" applyFont="1">
      <alignment horizontal="right"/>
    </xf>
    <xf numFmtId="166" fontId="8" fillId="0" borderId="10" xfId="7" applyFont="1">
      <alignment horizontal="right"/>
    </xf>
    <xf numFmtId="0" fontId="8" fillId="0" borderId="0" xfId="9" applyFont="1">
      <alignment wrapText="1"/>
    </xf>
    <xf numFmtId="0" fontId="8" fillId="0" borderId="0" xfId="9" applyFont="1" applyAlignment="1">
      <alignment horizontal="right" wrapText="1"/>
    </xf>
    <xf numFmtId="0" fontId="8" fillId="0" borderId="0" xfId="8" applyFont="1" applyFill="1">
      <alignment wrapText="1"/>
    </xf>
    <xf numFmtId="0" fontId="0" fillId="0" borderId="0" xfId="0" applyFont="1"/>
    <xf numFmtId="166" fontId="8" fillId="0" borderId="0" xfId="10" applyFont="1" applyFill="1">
      <alignment horizontal="right"/>
    </xf>
    <xf numFmtId="165" fontId="8" fillId="0" borderId="0" xfId="1" applyNumberFormat="1" applyFont="1" applyBorder="1" applyAlignment="1">
      <alignment horizontal="right"/>
    </xf>
    <xf numFmtId="166" fontId="8" fillId="0" borderId="10" xfId="7" applyFont="1" applyFill="1">
      <alignment horizontal="right"/>
    </xf>
    <xf numFmtId="49" fontId="44" fillId="0" borderId="0" xfId="0" applyNumberFormat="1" applyFont="1" applyAlignment="1">
      <alignment horizontal="left" wrapText="1"/>
    </xf>
    <xf numFmtId="165" fontId="8" fillId="0" borderId="0" xfId="1" applyNumberFormat="1" applyFont="1" applyAlignment="1">
      <alignment horizontal="right" wrapText="1"/>
    </xf>
    <xf numFmtId="0" fontId="7" fillId="0" borderId="0" xfId="8" applyFont="1" applyAlignment="1">
      <alignment horizontal="left" vertical="top" wrapText="1"/>
    </xf>
    <xf numFmtId="0" fontId="8" fillId="0" borderId="0" xfId="9" applyFont="1" applyFill="1" applyAlignment="1">
      <alignment horizontal="right" wrapText="1"/>
    </xf>
    <xf numFmtId="0" fontId="9" fillId="0" borderId="0" xfId="9" applyAlignment="1"/>
    <xf numFmtId="0" fontId="8" fillId="0" borderId="0" xfId="9" quotePrefix="1" applyFont="1" applyAlignment="1">
      <alignment wrapText="1"/>
    </xf>
    <xf numFmtId="166" fontId="8" fillId="0" borderId="11" xfId="11" applyFont="1" applyBorder="1">
      <alignment horizontal="right"/>
    </xf>
    <xf numFmtId="0" fontId="8" fillId="0" borderId="0" xfId="8" applyFont="1" applyAlignment="1">
      <alignment horizontal="center" wrapText="1"/>
    </xf>
    <xf numFmtId="166" fontId="8" fillId="0" borderId="12" xfId="7" applyFont="1" applyBorder="1">
      <alignment horizontal="right"/>
    </xf>
    <xf numFmtId="0" fontId="8" fillId="0" borderId="0" xfId="8" applyFont="1" applyBorder="1">
      <alignment wrapText="1"/>
    </xf>
    <xf numFmtId="166" fontId="8" fillId="0" borderId="10" xfId="8" applyNumberFormat="1" applyFont="1" applyBorder="1">
      <alignment wrapText="1"/>
    </xf>
    <xf numFmtId="168" fontId="8" fillId="0" borderId="10" xfId="7" applyNumberFormat="1" applyFont="1">
      <alignment horizontal="right"/>
    </xf>
    <xf numFmtId="0" fontId="19" fillId="0" borderId="0" xfId="9" applyFont="1" applyAlignment="1"/>
    <xf numFmtId="168" fontId="8" fillId="0" borderId="0" xfId="0" applyNumberFormat="1" applyFont="1" applyBorder="1"/>
    <xf numFmtId="0" fontId="8" fillId="0" borderId="0" xfId="0" quotePrefix="1" applyFont="1"/>
    <xf numFmtId="168" fontId="8" fillId="0" borderId="0" xfId="0" applyNumberFormat="1" applyFont="1"/>
    <xf numFmtId="0" fontId="19" fillId="0" borderId="0" xfId="8" quotePrefix="1" applyFont="1" applyAlignment="1">
      <alignment horizontal="center"/>
    </xf>
    <xf numFmtId="168" fontId="9" fillId="0" borderId="10" xfId="7" applyNumberFormat="1" applyFont="1">
      <alignment horizontal="right"/>
    </xf>
    <xf numFmtId="0" fontId="0" fillId="0" borderId="0" xfId="0"/>
    <xf numFmtId="0" fontId="8" fillId="0" borderId="0" xfId="8">
      <alignment wrapText="1"/>
    </xf>
    <xf numFmtId="0" fontId="9" fillId="0" borderId="0" xfId="9">
      <alignment wrapText="1"/>
    </xf>
    <xf numFmtId="0" fontId="9" fillId="0" borderId="0" xfId="9" applyAlignment="1">
      <alignment vertical="center"/>
    </xf>
    <xf numFmtId="165" fontId="8" fillId="0" borderId="0" xfId="1" applyNumberFormat="1" applyFont="1" applyBorder="1"/>
    <xf numFmtId="165" fontId="8" fillId="0" borderId="0" xfId="1" applyNumberFormat="1" applyFont="1"/>
    <xf numFmtId="165" fontId="9" fillId="0" borderId="0" xfId="1" applyNumberFormat="1" applyFont="1" applyBorder="1" applyAlignment="1">
      <alignment horizontal="right"/>
    </xf>
    <xf numFmtId="0" fontId="15" fillId="0" borderId="0" xfId="0" applyFont="1"/>
    <xf numFmtId="0" fontId="9" fillId="0" borderId="0" xfId="9" applyAlignment="1">
      <alignment horizontal="right" vertical="center" wrapText="1"/>
    </xf>
    <xf numFmtId="166" fontId="8" fillId="0" borderId="0" xfId="10">
      <alignment horizontal="right"/>
    </xf>
    <xf numFmtId="166" fontId="9" fillId="0" borderId="10" xfId="7">
      <alignment horizontal="right"/>
    </xf>
    <xf numFmtId="0" fontId="9" fillId="0" borderId="0" xfId="9" applyAlignment="1">
      <alignment horizontal="right" wrapText="1"/>
    </xf>
    <xf numFmtId="0" fontId="9" fillId="0" borderId="0" xfId="9" applyAlignment="1"/>
    <xf numFmtId="0" fontId="19" fillId="0" borderId="0" xfId="8" applyFont="1" applyAlignment="1"/>
    <xf numFmtId="0" fontId="22" fillId="0" borderId="0" xfId="0" applyFont="1"/>
    <xf numFmtId="166" fontId="8" fillId="0" borderId="0" xfId="10" applyFont="1">
      <alignment horizontal="right"/>
    </xf>
    <xf numFmtId="0" fontId="8" fillId="0" borderId="0" xfId="9" applyFont="1" applyAlignment="1">
      <alignment horizontal="right" wrapText="1"/>
    </xf>
    <xf numFmtId="165" fontId="8" fillId="0" borderId="0" xfId="1" applyNumberFormat="1" applyFont="1" applyBorder="1" applyAlignment="1">
      <alignment horizontal="right"/>
    </xf>
    <xf numFmtId="0" fontId="8" fillId="0" borderId="0" xfId="9" applyFont="1" applyAlignment="1">
      <alignment wrapText="1"/>
    </xf>
    <xf numFmtId="0" fontId="19" fillId="0" borderId="0" xfId="8" applyFont="1" applyFill="1" applyAlignment="1">
      <alignment vertical="top" wrapText="1"/>
    </xf>
    <xf numFmtId="0" fontId="19" fillId="0" borderId="0" xfId="8" applyFont="1" applyFill="1" applyAlignment="1">
      <alignment horizontal="center" wrapText="1"/>
    </xf>
    <xf numFmtId="0" fontId="8" fillId="0" borderId="0" xfId="8" applyAlignment="1">
      <alignment wrapText="1"/>
    </xf>
    <xf numFmtId="166" fontId="8" fillId="0" borderId="0" xfId="10">
      <alignment horizontal="right"/>
    </xf>
    <xf numFmtId="166" fontId="8" fillId="0" borderId="0" xfId="10" applyFont="1">
      <alignment horizontal="right"/>
    </xf>
    <xf numFmtId="0" fontId="0" fillId="0" borderId="0" xfId="0"/>
    <xf numFmtId="0" fontId="8" fillId="0" borderId="0" xfId="8">
      <alignment wrapText="1"/>
    </xf>
    <xf numFmtId="0" fontId="9" fillId="0" borderId="0" xfId="9">
      <alignment wrapText="1"/>
    </xf>
    <xf numFmtId="0" fontId="8" fillId="0" borderId="0" xfId="8" applyAlignment="1">
      <alignment vertical="center"/>
    </xf>
    <xf numFmtId="0" fontId="8" fillId="0" borderId="0" xfId="8" applyFill="1">
      <alignment wrapText="1"/>
    </xf>
    <xf numFmtId="0" fontId="8" fillId="0" borderId="0" xfId="8" applyAlignment="1">
      <alignment wrapText="1"/>
    </xf>
    <xf numFmtId="0" fontId="9" fillId="0" borderId="0" xfId="8" applyFont="1" applyAlignment="1">
      <alignment wrapText="1"/>
    </xf>
    <xf numFmtId="0" fontId="8" fillId="0" borderId="0" xfId="8" applyBorder="1">
      <alignment wrapText="1"/>
    </xf>
    <xf numFmtId="0" fontId="16" fillId="0" borderId="0" xfId="8" applyFont="1">
      <alignment wrapText="1"/>
    </xf>
    <xf numFmtId="0" fontId="19" fillId="0" borderId="0" xfId="0" applyFont="1"/>
    <xf numFmtId="0" fontId="19" fillId="0" borderId="0" xfId="8" applyFont="1" applyAlignment="1">
      <alignment wrapText="1"/>
    </xf>
    <xf numFmtId="0" fontId="8" fillId="0" borderId="0" xfId="8" applyFill="1" applyAlignment="1">
      <alignment wrapText="1"/>
    </xf>
    <xf numFmtId="166" fontId="9" fillId="0" borderId="0" xfId="7" applyBorder="1">
      <alignment horizontal="right"/>
    </xf>
    <xf numFmtId="166" fontId="8" fillId="0" borderId="0" xfId="10" applyBorder="1">
      <alignment horizontal="right"/>
    </xf>
    <xf numFmtId="0" fontId="8" fillId="0" borderId="0" xfId="8" applyAlignment="1">
      <alignment horizontal="left" wrapText="1"/>
    </xf>
    <xf numFmtId="0" fontId="7" fillId="0" borderId="0" xfId="14" applyFont="1" applyFill="1" applyBorder="1" applyAlignment="1">
      <alignment horizontal="left" vertical="top" wrapText="1"/>
    </xf>
    <xf numFmtId="168" fontId="7" fillId="0" borderId="0" xfId="13" quotePrefix="1" applyNumberFormat="1" applyFont="1" applyFill="1" applyBorder="1" applyAlignment="1">
      <alignment horizontal="left"/>
    </xf>
    <xf numFmtId="168" fontId="7" fillId="0" borderId="0" xfId="14" applyNumberFormat="1" applyFont="1" applyFill="1" applyBorder="1" applyAlignment="1">
      <alignment horizontal="left"/>
    </xf>
    <xf numFmtId="168" fontId="7" fillId="0" borderId="0" xfId="14" applyNumberFormat="1" applyFont="1" applyFill="1" applyBorder="1" applyAlignment="1">
      <alignment horizontal="left" vertical="top" wrapText="1"/>
    </xf>
    <xf numFmtId="0" fontId="7" fillId="0" borderId="0" xfId="14" applyFont="1"/>
    <xf numFmtId="0" fontId="7" fillId="0" borderId="0" xfId="14" applyFont="1" applyAlignment="1">
      <alignment wrapText="1"/>
    </xf>
    <xf numFmtId="0" fontId="7" fillId="0" borderId="0" xfId="14" applyFont="1" applyAlignment="1">
      <alignment vertical="center" wrapText="1"/>
    </xf>
    <xf numFmtId="49" fontId="7" fillId="0" borderId="0" xfId="14" applyNumberFormat="1" applyFont="1"/>
    <xf numFmtId="0" fontId="7" fillId="0" borderId="0" xfId="8" applyFont="1">
      <alignment wrapText="1"/>
    </xf>
    <xf numFmtId="0" fontId="8" fillId="0" borderId="0" xfId="8">
      <alignment wrapText="1"/>
    </xf>
    <xf numFmtId="0" fontId="16" fillId="0" borderId="0" xfId="8" applyFont="1">
      <alignment wrapText="1"/>
    </xf>
    <xf numFmtId="0" fontId="8" fillId="0" borderId="0" xfId="8" applyAlignment="1">
      <alignment horizontal="left" wrapText="1"/>
    </xf>
    <xf numFmtId="168" fontId="7" fillId="0" borderId="0" xfId="13" quotePrefix="1" applyNumberFormat="1" applyFont="1" applyFill="1" applyBorder="1" applyAlignment="1">
      <alignment horizontal="left"/>
    </xf>
    <xf numFmtId="168" fontId="7" fillId="0" borderId="0" xfId="14" applyNumberFormat="1" applyFont="1" applyFill="1" applyBorder="1" applyAlignment="1">
      <alignment horizontal="left"/>
    </xf>
    <xf numFmtId="0" fontId="7" fillId="8" borderId="0" xfId="14" applyFont="1" applyFill="1" applyAlignment="1">
      <alignment vertical="center" wrapText="1"/>
    </xf>
    <xf numFmtId="49" fontId="7" fillId="0" borderId="0" xfId="14" applyNumberFormat="1" applyFont="1" applyFill="1" applyBorder="1" applyAlignment="1">
      <alignment horizontal="left" vertical="top" wrapText="1"/>
    </xf>
    <xf numFmtId="0" fontId="7" fillId="0" borderId="0" xfId="14" quotePrefix="1" applyFont="1" applyFill="1" applyBorder="1" applyAlignment="1">
      <alignment horizontal="left" vertical="top" wrapText="1"/>
    </xf>
    <xf numFmtId="0" fontId="8" fillId="0" borderId="0" xfId="8">
      <alignment wrapText="1"/>
    </xf>
    <xf numFmtId="0" fontId="16" fillId="0" borderId="0" xfId="8" applyFont="1">
      <alignment wrapText="1"/>
    </xf>
    <xf numFmtId="0" fontId="8" fillId="0" borderId="0" xfId="8" applyAlignment="1">
      <alignment horizontal="left" wrapText="1"/>
    </xf>
    <xf numFmtId="0" fontId="7" fillId="8" borderId="0" xfId="14" applyFont="1" applyFill="1" applyAlignment="1">
      <alignment vertical="center" wrapText="1"/>
    </xf>
    <xf numFmtId="49" fontId="8" fillId="0" borderId="0" xfId="8" applyNumberFormat="1">
      <alignment wrapText="1"/>
    </xf>
    <xf numFmtId="0" fontId="46" fillId="0" borderId="0" xfId="0" applyFont="1" applyAlignment="1">
      <alignment wrapText="1"/>
    </xf>
    <xf numFmtId="0" fontId="7" fillId="8" borderId="0" xfId="14" applyFont="1" applyFill="1" applyBorder="1" applyAlignment="1">
      <alignment wrapText="1"/>
    </xf>
    <xf numFmtId="0" fontId="8" fillId="0" borderId="0" xfId="8">
      <alignment wrapText="1"/>
    </xf>
    <xf numFmtId="0" fontId="8" fillId="0" borderId="0" xfId="8" applyAlignment="1">
      <alignment wrapText="1"/>
    </xf>
    <xf numFmtId="0" fontId="16" fillId="0" borderId="0" xfId="8" applyFont="1">
      <alignment wrapText="1"/>
    </xf>
    <xf numFmtId="0" fontId="9" fillId="0" borderId="0" xfId="8" applyFont="1" applyAlignment="1"/>
    <xf numFmtId="0" fontId="8" fillId="0" borderId="0" xfId="8" applyAlignment="1">
      <alignment horizontal="left" wrapText="1"/>
    </xf>
    <xf numFmtId="0" fontId="7" fillId="8" borderId="0" xfId="14" applyFont="1" applyFill="1" applyAlignment="1">
      <alignment vertical="center" wrapText="1"/>
    </xf>
    <xf numFmtId="0" fontId="6" fillId="8" borderId="0" xfId="14" applyFont="1" applyFill="1" applyBorder="1" applyAlignment="1">
      <alignment wrapText="1"/>
    </xf>
    <xf numFmtId="0" fontId="7" fillId="8" borderId="0" xfId="14" applyFont="1" applyFill="1" applyAlignment="1">
      <alignment vertical="center"/>
    </xf>
    <xf numFmtId="0" fontId="7" fillId="0" borderId="0" xfId="14" applyFont="1" applyAlignment="1">
      <alignment vertical="center"/>
    </xf>
    <xf numFmtId="0" fontId="8" fillId="0" borderId="0" xfId="8">
      <alignment wrapText="1"/>
    </xf>
    <xf numFmtId="0" fontId="8" fillId="0" borderId="0" xfId="8" applyAlignment="1">
      <alignment wrapText="1"/>
    </xf>
    <xf numFmtId="0" fontId="16" fillId="0" borderId="0" xfId="8" applyFont="1">
      <alignment wrapText="1"/>
    </xf>
    <xf numFmtId="0" fontId="8" fillId="0" borderId="0" xfId="8" applyAlignment="1">
      <alignment horizontal="left" wrapText="1"/>
    </xf>
    <xf numFmtId="0" fontId="7" fillId="0" borderId="0" xfId="0" applyFont="1" applyAlignment="1">
      <alignment vertical="top" wrapText="1"/>
    </xf>
    <xf numFmtId="0" fontId="7" fillId="0" borderId="0" xfId="14" applyFont="1" applyFill="1" applyBorder="1" applyAlignment="1">
      <alignment vertical="top" wrapText="1"/>
    </xf>
    <xf numFmtId="0" fontId="6" fillId="0" borderId="0" xfId="0" applyFont="1" applyAlignment="1">
      <alignment vertical="top" wrapText="1"/>
    </xf>
    <xf numFmtId="0" fontId="8" fillId="0" borderId="0" xfId="0" applyFont="1" applyAlignment="1">
      <alignment horizontal="left" vertical="center"/>
    </xf>
    <xf numFmtId="0" fontId="8" fillId="0" borderId="0" xfId="8" applyAlignment="1">
      <alignment horizontal="left" wrapText="1"/>
    </xf>
    <xf numFmtId="0" fontId="8" fillId="0" borderId="0" xfId="8">
      <alignment wrapText="1"/>
    </xf>
    <xf numFmtId="0" fontId="7" fillId="0" borderId="0" xfId="8" applyFont="1" applyAlignment="1">
      <alignment horizontal="left" wrapText="1"/>
    </xf>
    <xf numFmtId="0" fontId="19" fillId="0" borderId="0" xfId="8" applyFont="1" applyAlignment="1">
      <alignment horizontal="center" wrapText="1"/>
    </xf>
    <xf numFmtId="0" fontId="19" fillId="0" borderId="0" xfId="8" applyFont="1">
      <alignment wrapText="1"/>
    </xf>
    <xf numFmtId="0" fontId="8" fillId="0" borderId="0" xfId="8" applyAlignment="1">
      <alignment horizontal="center" wrapText="1"/>
    </xf>
    <xf numFmtId="0" fontId="8" fillId="0" borderId="0" xfId="9" applyFont="1" applyAlignment="1">
      <alignment horizontal="left" wrapText="1"/>
    </xf>
    <xf numFmtId="0" fontId="9" fillId="0" borderId="0" xfId="9">
      <alignment wrapText="1"/>
    </xf>
    <xf numFmtId="0" fontId="7" fillId="0" borderId="0" xfId="9" applyFont="1" applyAlignment="1">
      <alignment horizontal="left" wrapText="1"/>
    </xf>
    <xf numFmtId="0" fontId="8" fillId="0" borderId="0" xfId="9" applyFont="1" applyAlignment="1">
      <alignment horizontal="left" vertical="center" wrapText="1"/>
    </xf>
    <xf numFmtId="0" fontId="9" fillId="0" borderId="0" xfId="9" applyAlignment="1">
      <alignment horizontal="right" wrapText="1"/>
    </xf>
    <xf numFmtId="0" fontId="8" fillId="0" borderId="0" xfId="8" applyAlignment="1">
      <alignment horizontal="left" wrapText="1" indent="1"/>
    </xf>
    <xf numFmtId="0" fontId="9" fillId="0" borderId="0" xfId="9" applyAlignment="1"/>
    <xf numFmtId="0" fontId="9" fillId="0" borderId="0" xfId="9" applyFill="1" applyAlignment="1">
      <alignment horizontal="right" wrapText="1"/>
    </xf>
    <xf numFmtId="0" fontId="8" fillId="0" borderId="0" xfId="9" applyFont="1" applyFill="1" applyAlignment="1">
      <alignment horizontal="right" wrapText="1"/>
    </xf>
    <xf numFmtId="0" fontId="9" fillId="0" borderId="0" xfId="9" applyFill="1" applyAlignment="1">
      <alignment horizontal="center" wrapText="1"/>
    </xf>
    <xf numFmtId="0" fontId="9" fillId="0" borderId="0" xfId="9" applyBorder="1" applyAlignment="1"/>
    <xf numFmtId="0" fontId="9" fillId="0" borderId="0" xfId="9" applyBorder="1">
      <alignment wrapText="1"/>
    </xf>
    <xf numFmtId="166" fontId="9" fillId="0" borderId="0" xfId="11" applyFill="1" applyBorder="1">
      <alignment horizontal="right"/>
    </xf>
    <xf numFmtId="166" fontId="9" fillId="0" borderId="0" xfId="7" applyFill="1" applyBorder="1">
      <alignment horizontal="right"/>
    </xf>
    <xf numFmtId="0" fontId="0" fillId="0" borderId="0" xfId="0" applyFill="1" applyBorder="1"/>
    <xf numFmtId="0" fontId="8" fillId="0" borderId="0" xfId="8" applyBorder="1" applyAlignment="1">
      <alignment horizontal="left" wrapText="1" indent="1"/>
    </xf>
    <xf numFmtId="166" fontId="8" fillId="0" borderId="0" xfId="10" applyFont="1" applyFill="1" applyBorder="1">
      <alignment horizontal="right"/>
    </xf>
    <xf numFmtId="166" fontId="8" fillId="0" borderId="0" xfId="7" applyFont="1" applyFill="1" applyBorder="1">
      <alignment horizontal="right"/>
    </xf>
    <xf numFmtId="0" fontId="8" fillId="0" borderId="0" xfId="8" applyAlignment="1">
      <alignment horizontal="left" vertical="center" wrapText="1" indent="1"/>
    </xf>
    <xf numFmtId="167" fontId="8" fillId="0" borderId="12" xfId="12" applyBorder="1">
      <alignment horizontal="right"/>
    </xf>
    <xf numFmtId="167" fontId="8" fillId="0" borderId="12" xfId="12" applyFont="1" applyBorder="1">
      <alignment horizontal="right"/>
    </xf>
    <xf numFmtId="0" fontId="0" fillId="0" borderId="0" xfId="0" applyFont="1" applyBorder="1"/>
    <xf numFmtId="0" fontId="0" fillId="0" borderId="0" xfId="0" applyAlignment="1">
      <alignment vertical="center"/>
    </xf>
    <xf numFmtId="166" fontId="8" fillId="0" borderId="12" xfId="7" applyFont="1" applyFill="1" applyBorder="1">
      <alignment horizontal="right"/>
    </xf>
    <xf numFmtId="166" fontId="8" fillId="0" borderId="0" xfId="7" applyFont="1" applyBorder="1">
      <alignment horizontal="right"/>
    </xf>
    <xf numFmtId="0" fontId="7" fillId="0" borderId="0" xfId="0" applyFont="1" applyAlignment="1">
      <alignment vertical="center" wrapText="1"/>
    </xf>
    <xf numFmtId="166" fontId="8" fillId="0" borderId="12" xfId="6" applyFont="1" applyBorder="1">
      <alignment horizontal="right"/>
    </xf>
    <xf numFmtId="166" fontId="8" fillId="0" borderId="0" xfId="6" applyFont="1" applyBorder="1">
      <alignment horizontal="right"/>
    </xf>
    <xf numFmtId="166" fontId="8" fillId="0" borderId="0" xfId="10" applyFont="1" applyBorder="1">
      <alignment horizontal="right"/>
    </xf>
    <xf numFmtId="0" fontId="8" fillId="0" borderId="0" xfId="9" applyFont="1" applyBorder="1" applyAlignment="1">
      <alignment horizontal="right" wrapText="1"/>
    </xf>
    <xf numFmtId="0" fontId="8" fillId="0" borderId="0" xfId="8" applyBorder="1" applyAlignment="1">
      <alignment horizontal="left" indent="1"/>
    </xf>
    <xf numFmtId="0" fontId="19" fillId="0" borderId="0" xfId="8" applyFont="1" applyAlignment="1">
      <alignment horizontal="left" wrapText="1"/>
    </xf>
    <xf numFmtId="0" fontId="8" fillId="0" borderId="0" xfId="8" applyAlignment="1">
      <alignment horizontal="left" wrapText="1"/>
    </xf>
    <xf numFmtId="0" fontId="8" fillId="0" borderId="0" xfId="8">
      <alignment wrapText="1"/>
    </xf>
    <xf numFmtId="0" fontId="7" fillId="0" borderId="0" xfId="8" applyFont="1" applyFill="1" applyAlignment="1">
      <alignment horizontal="left" wrapText="1"/>
    </xf>
    <xf numFmtId="0" fontId="8" fillId="0" borderId="0" xfId="8" applyAlignment="1">
      <alignment horizontal="left" vertical="top" wrapText="1"/>
    </xf>
    <xf numFmtId="0" fontId="7" fillId="0" borderId="0" xfId="8" applyFont="1">
      <alignment wrapText="1"/>
    </xf>
    <xf numFmtId="0" fontId="19" fillId="0" borderId="0" xfId="8" applyFont="1" applyFill="1" applyAlignment="1">
      <alignment horizontal="left" wrapText="1"/>
    </xf>
    <xf numFmtId="0" fontId="8" fillId="0" borderId="0" xfId="9" applyFont="1" applyAlignment="1">
      <alignment horizontal="left" vertical="top" wrapText="1"/>
    </xf>
    <xf numFmtId="0" fontId="8" fillId="0" borderId="0" xfId="9" applyFont="1" applyAlignment="1">
      <alignment horizontal="left" vertical="top"/>
    </xf>
    <xf numFmtId="0" fontId="19" fillId="0" borderId="0" xfId="8" applyFont="1" applyFill="1" applyAlignment="1">
      <alignment horizontal="left" vertical="center" wrapText="1"/>
    </xf>
    <xf numFmtId="0" fontId="7" fillId="0" borderId="0" xfId="8" applyFont="1" applyAlignment="1">
      <alignment horizontal="left" wrapText="1"/>
    </xf>
    <xf numFmtId="0" fontId="8" fillId="0" borderId="0" xfId="9" applyFont="1" applyAlignment="1">
      <alignment horizontal="left" wrapText="1"/>
    </xf>
    <xf numFmtId="0" fontId="9" fillId="0" borderId="0" xfId="9">
      <alignment wrapText="1"/>
    </xf>
    <xf numFmtId="0" fontId="9" fillId="0" borderId="0" xfId="9" applyAlignment="1">
      <alignment horizontal="right" wrapText="1"/>
    </xf>
    <xf numFmtId="0" fontId="9" fillId="0" borderId="0" xfId="9" applyAlignment="1">
      <alignment horizontal="left" wrapText="1"/>
    </xf>
    <xf numFmtId="0" fontId="8" fillId="0" borderId="0" xfId="8" applyAlignment="1">
      <alignment horizontal="left" wrapText="1" indent="1"/>
    </xf>
    <xf numFmtId="0" fontId="9" fillId="0" borderId="0" xfId="9" applyAlignment="1"/>
    <xf numFmtId="0" fontId="7" fillId="0" borderId="0" xfId="8" applyFont="1" applyAlignment="1">
      <alignment wrapText="1"/>
    </xf>
    <xf numFmtId="0" fontId="8" fillId="0" borderId="0" xfId="8" applyAlignment="1">
      <alignment horizontal="left" vertical="center" wrapText="1"/>
    </xf>
    <xf numFmtId="0" fontId="8" fillId="0" borderId="0" xfId="8">
      <alignment wrapText="1"/>
    </xf>
    <xf numFmtId="0" fontId="9" fillId="0" borderId="0" xfId="9" applyAlignment="1">
      <alignment horizontal="right" wrapText="1"/>
    </xf>
    <xf numFmtId="0" fontId="9" fillId="0" borderId="0" xfId="9" applyAlignment="1"/>
    <xf numFmtId="0" fontId="8" fillId="0" borderId="0" xfId="8" applyAlignment="1">
      <alignment horizontal="left" wrapText="1" indent="1"/>
    </xf>
    <xf numFmtId="0" fontId="7" fillId="0" borderId="0" xfId="8" applyFont="1" applyFill="1" applyAlignment="1">
      <alignment vertical="top" wrapText="1"/>
    </xf>
    <xf numFmtId="0" fontId="8" fillId="0" borderId="0" xfId="8" applyAlignment="1">
      <alignment vertical="top" wrapText="1"/>
    </xf>
    <xf numFmtId="0" fontId="16" fillId="0" borderId="0" xfId="8" applyFont="1" applyAlignment="1">
      <alignment vertical="center" wrapText="1"/>
    </xf>
    <xf numFmtId="0" fontId="7" fillId="0" borderId="0" xfId="0" applyFont="1" applyFill="1" applyBorder="1" applyAlignment="1">
      <alignment vertical="center" wrapText="1"/>
    </xf>
    <xf numFmtId="166" fontId="8" fillId="0" borderId="0" xfId="11" applyFont="1" applyBorder="1">
      <alignment horizontal="right"/>
    </xf>
    <xf numFmtId="0" fontId="8" fillId="0" borderId="0" xfId="8" applyBorder="1" applyAlignment="1">
      <alignment vertical="center"/>
    </xf>
    <xf numFmtId="165" fontId="9" fillId="0" borderId="0" xfId="1" applyNumberFormat="1" applyFont="1" applyBorder="1" applyAlignment="1">
      <alignment horizontal="right" vertical="center" wrapText="1"/>
    </xf>
    <xf numFmtId="0" fontId="9" fillId="0" borderId="0" xfId="9" applyBorder="1" applyAlignment="1">
      <alignment horizontal="left" wrapText="1"/>
    </xf>
    <xf numFmtId="166" fontId="9" fillId="0" borderId="18" xfId="6" applyBorder="1">
      <alignment horizontal="right"/>
    </xf>
    <xf numFmtId="166" fontId="8" fillId="0" borderId="18" xfId="6" applyFont="1" applyBorder="1">
      <alignment horizontal="right"/>
    </xf>
    <xf numFmtId="0" fontId="7" fillId="0" borderId="0" xfId="8" applyFont="1" applyFill="1" applyAlignment="1">
      <alignment horizontal="center" wrapText="1"/>
    </xf>
    <xf numFmtId="165" fontId="8" fillId="0" borderId="0" xfId="1" applyNumberFormat="1" applyFont="1" applyAlignment="1">
      <alignment wrapText="1"/>
    </xf>
    <xf numFmtId="0" fontId="8" fillId="0" borderId="0" xfId="8">
      <alignment wrapText="1"/>
    </xf>
    <xf numFmtId="0" fontId="7" fillId="0" borderId="0" xfId="8" applyFont="1" applyFill="1" applyAlignment="1">
      <alignment horizontal="left" wrapText="1"/>
    </xf>
    <xf numFmtId="0" fontId="7" fillId="0" borderId="0" xfId="8" applyFont="1" applyAlignment="1">
      <alignment horizontal="left" wrapText="1"/>
    </xf>
    <xf numFmtId="0" fontId="9" fillId="0" borderId="0" xfId="9">
      <alignment wrapText="1"/>
    </xf>
    <xf numFmtId="0" fontId="9" fillId="0" borderId="0" xfId="9" applyAlignment="1"/>
    <xf numFmtId="3" fontId="8" fillId="0" borderId="0" xfId="8" applyNumberFormat="1" applyFont="1" applyFill="1">
      <alignment wrapText="1"/>
    </xf>
    <xf numFmtId="1" fontId="8" fillId="0" borderId="0" xfId="8" applyNumberFormat="1" applyFont="1" applyFill="1">
      <alignment wrapText="1"/>
    </xf>
    <xf numFmtId="166" fontId="8" fillId="0" borderId="19" xfId="10" applyFill="1" applyBorder="1">
      <alignment horizontal="right"/>
    </xf>
    <xf numFmtId="0" fontId="8" fillId="0" borderId="0" xfId="8">
      <alignment wrapText="1"/>
    </xf>
    <xf numFmtId="0" fontId="8" fillId="0" borderId="0" xfId="8" applyAlignment="1">
      <alignment horizontal="left" wrapText="1" indent="1"/>
    </xf>
    <xf numFmtId="166" fontId="9" fillId="0" borderId="0" xfId="11" applyFont="1">
      <alignment horizontal="right"/>
    </xf>
    <xf numFmtId="166" fontId="9" fillId="0" borderId="0" xfId="11" applyFont="1" applyBorder="1">
      <alignment horizontal="right"/>
    </xf>
    <xf numFmtId="0" fontId="16" fillId="0" borderId="0" xfId="8" applyFont="1" applyBorder="1">
      <alignment wrapText="1"/>
    </xf>
    <xf numFmtId="0" fontId="8" fillId="0" borderId="0" xfId="8" applyFont="1" applyBorder="1" applyAlignment="1">
      <alignment horizontal="left" wrapText="1" indent="1"/>
    </xf>
    <xf numFmtId="0" fontId="8" fillId="0" borderId="0" xfId="8">
      <alignment wrapText="1"/>
    </xf>
    <xf numFmtId="0" fontId="9" fillId="0" borderId="0" xfId="9">
      <alignment wrapText="1"/>
    </xf>
    <xf numFmtId="0" fontId="8" fillId="0" borderId="0" xfId="8" applyAlignment="1">
      <alignment horizontal="left" wrapText="1" indent="1"/>
    </xf>
    <xf numFmtId="0" fontId="9" fillId="0" borderId="0" xfId="9" applyAlignment="1"/>
    <xf numFmtId="165" fontId="8" fillId="0" borderId="0" xfId="1" applyNumberFormat="1" applyFont="1" applyAlignment="1">
      <alignment horizontal="right" vertical="center"/>
    </xf>
    <xf numFmtId="166" fontId="9" fillId="0" borderId="11" xfId="7" applyBorder="1">
      <alignment horizontal="right"/>
    </xf>
    <xf numFmtId="166" fontId="8" fillId="0" borderId="11" xfId="7" applyFont="1" applyBorder="1">
      <alignment horizontal="right"/>
    </xf>
    <xf numFmtId="166" fontId="8" fillId="0" borderId="10" xfId="7" applyFont="1" applyBorder="1">
      <alignment horizontal="right"/>
    </xf>
    <xf numFmtId="0" fontId="8" fillId="0" borderId="0" xfId="8">
      <alignment wrapText="1"/>
    </xf>
    <xf numFmtId="0" fontId="8" fillId="0" borderId="0" xfId="8" applyAlignment="1">
      <alignment horizontal="left" wrapText="1" indent="1"/>
    </xf>
    <xf numFmtId="0" fontId="7" fillId="0" borderId="0" xfId="0" applyFont="1" applyFill="1" applyBorder="1" applyAlignment="1">
      <alignment horizontal="left" vertical="center" indent="1"/>
    </xf>
    <xf numFmtId="0" fontId="8" fillId="9" borderId="0" xfId="0" applyFont="1" applyFill="1"/>
    <xf numFmtId="0" fontId="8" fillId="0" borderId="0" xfId="8" applyAlignment="1">
      <alignment horizontal="left" wrapText="1" indent="1"/>
    </xf>
    <xf numFmtId="0" fontId="8" fillId="0" borderId="0" xfId="8" applyAlignment="1">
      <alignment wrapText="1"/>
    </xf>
    <xf numFmtId="0" fontId="19" fillId="0" borderId="0" xfId="0" applyFont="1" applyFill="1"/>
    <xf numFmtId="168" fontId="9" fillId="0" borderId="20" xfId="0" applyNumberFormat="1" applyFont="1" applyFill="1" applyBorder="1"/>
    <xf numFmtId="168" fontId="9" fillId="0" borderId="0" xfId="0" applyNumberFormat="1" applyFont="1" applyFill="1"/>
    <xf numFmtId="0" fontId="8" fillId="0" borderId="0" xfId="8" applyFont="1" applyFill="1" applyBorder="1" applyAlignment="1">
      <alignment horizontal="left" vertical="center" indent="1"/>
    </xf>
    <xf numFmtId="0" fontId="8" fillId="0" borderId="0" xfId="8" applyFill="1" applyBorder="1" applyAlignment="1">
      <alignment horizontal="left" vertical="center" wrapText="1" indent="1"/>
    </xf>
    <xf numFmtId="0" fontId="8" fillId="0" borderId="0" xfId="0" applyFont="1" applyFill="1" applyBorder="1" applyAlignment="1">
      <alignment horizontal="left" vertical="center" indent="1"/>
    </xf>
    <xf numFmtId="0" fontId="8" fillId="0" borderId="0" xfId="8">
      <alignment wrapText="1"/>
    </xf>
    <xf numFmtId="0" fontId="8" fillId="0" borderId="0" xfId="8" applyAlignment="1">
      <alignment wrapText="1"/>
    </xf>
    <xf numFmtId="49" fontId="7" fillId="0" borderId="0" xfId="8" applyNumberFormat="1" applyFont="1" applyFill="1">
      <alignment wrapText="1"/>
    </xf>
    <xf numFmtId="166" fontId="8" fillId="0" borderId="18" xfId="10" applyFill="1" applyBorder="1" applyAlignment="1">
      <alignment horizontal="right" vertical="center"/>
    </xf>
    <xf numFmtId="166" fontId="8" fillId="0" borderId="0" xfId="8" applyNumberFormat="1">
      <alignment wrapText="1"/>
    </xf>
    <xf numFmtId="0" fontId="8" fillId="0" borderId="0" xfId="8" applyFill="1" applyBorder="1" applyAlignment="1">
      <alignment vertical="center"/>
    </xf>
    <xf numFmtId="0" fontId="8" fillId="0" borderId="0" xfId="8" applyFont="1" applyAlignment="1">
      <alignment horizontal="left"/>
    </xf>
    <xf numFmtId="49" fontId="11" fillId="0" borderId="0" xfId="17" applyNumberFormat="1" applyFont="1" applyBorder="1" applyAlignment="1"/>
    <xf numFmtId="0" fontId="35" fillId="0" borderId="0" xfId="8" applyFont="1" applyFill="1">
      <alignment wrapText="1"/>
    </xf>
    <xf numFmtId="0" fontId="35" fillId="0" borderId="0" xfId="8" applyFont="1" applyFill="1" applyAlignment="1">
      <alignment vertical="center" wrapText="1"/>
    </xf>
    <xf numFmtId="3" fontId="8" fillId="0" borderId="0" xfId="0" applyNumberFormat="1" applyFont="1" applyAlignment="1">
      <alignment horizontal="right" wrapText="1"/>
    </xf>
    <xf numFmtId="0" fontId="26" fillId="0" borderId="0" xfId="0" applyFont="1"/>
    <xf numFmtId="0" fontId="13" fillId="0" borderId="0" xfId="0" applyFont="1" applyBorder="1"/>
    <xf numFmtId="14" fontId="13" fillId="0" borderId="0" xfId="0" applyNumberFormat="1" applyFont="1" applyBorder="1"/>
    <xf numFmtId="0" fontId="9" fillId="0" borderId="0" xfId="8" applyFont="1" applyBorder="1">
      <alignment wrapText="1"/>
    </xf>
    <xf numFmtId="168" fontId="7" fillId="0" borderId="0" xfId="0" applyNumberFormat="1" applyFont="1" applyFill="1" applyBorder="1" applyAlignment="1">
      <alignment horizontal="left" vertical="top" wrapText="1"/>
    </xf>
    <xf numFmtId="0" fontId="7" fillId="0" borderId="0" xfId="8" applyFont="1" applyFill="1" applyAlignment="1">
      <alignment horizontal="left" vertical="top" wrapText="1"/>
    </xf>
    <xf numFmtId="0" fontId="9" fillId="0" borderId="0" xfId="9" applyAlignment="1">
      <alignment horizontal="right" wrapText="1"/>
    </xf>
    <xf numFmtId="0" fontId="9" fillId="0" borderId="0" xfId="9" applyBorder="1" applyAlignment="1">
      <alignment horizontal="right" wrapText="1"/>
    </xf>
    <xf numFmtId="0" fontId="8" fillId="0" borderId="0" xfId="8" applyBorder="1" applyAlignment="1">
      <alignment horizontal="left" vertical="center" wrapText="1"/>
    </xf>
    <xf numFmtId="0" fontId="9" fillId="0" borderId="0" xfId="9" applyBorder="1" applyAlignment="1">
      <alignment horizontal="left" vertical="center" wrapText="1"/>
    </xf>
    <xf numFmtId="165" fontId="9" fillId="0" borderId="0" xfId="1" applyNumberFormat="1" applyFont="1" applyBorder="1" applyAlignment="1">
      <alignment vertical="center"/>
    </xf>
    <xf numFmtId="165" fontId="9" fillId="0" borderId="0" xfId="1" applyNumberFormat="1" applyFont="1" applyBorder="1" applyAlignment="1"/>
    <xf numFmtId="166" fontId="8" fillId="0" borderId="21" xfId="10" applyBorder="1">
      <alignment horizontal="right"/>
    </xf>
    <xf numFmtId="166" fontId="8" fillId="0" borderId="21" xfId="10" applyFont="1" applyBorder="1">
      <alignment horizontal="right"/>
    </xf>
    <xf numFmtId="49" fontId="7" fillId="0" borderId="0" xfId="18" applyNumberFormat="1" applyFont="1" applyFill="1" applyBorder="1" applyAlignment="1">
      <alignment horizontal="left"/>
    </xf>
    <xf numFmtId="0" fontId="7" fillId="0" borderId="0" xfId="8" applyFont="1" applyFill="1" applyBorder="1">
      <alignment wrapText="1"/>
    </xf>
    <xf numFmtId="0" fontId="8" fillId="0" borderId="0" xfId="8">
      <alignment wrapText="1"/>
    </xf>
    <xf numFmtId="0" fontId="7" fillId="0" borderId="0" xfId="8" applyFont="1">
      <alignment wrapText="1"/>
    </xf>
    <xf numFmtId="0" fontId="9" fillId="0" borderId="0" xfId="9">
      <alignment wrapText="1"/>
    </xf>
    <xf numFmtId="0" fontId="9" fillId="0" borderId="0" xfId="9" applyAlignment="1"/>
    <xf numFmtId="0" fontId="8" fillId="0" borderId="0" xfId="8" applyAlignment="1">
      <alignment horizontal="left" wrapText="1" indent="1"/>
    </xf>
    <xf numFmtId="0" fontId="8" fillId="0" borderId="0" xfId="8">
      <alignment wrapText="1"/>
    </xf>
    <xf numFmtId="0" fontId="9" fillId="0" borderId="0" xfId="9" applyAlignment="1">
      <alignment horizontal="right" wrapText="1"/>
    </xf>
    <xf numFmtId="0" fontId="8" fillId="0" borderId="0" xfId="0" applyFont="1" applyAlignment="1">
      <alignment horizontal="left"/>
    </xf>
    <xf numFmtId="166" fontId="8" fillId="0" borderId="18" xfId="10" applyBorder="1">
      <alignment horizontal="right"/>
    </xf>
    <xf numFmtId="166" fontId="8" fillId="0" borderId="18" xfId="10" applyFont="1" applyBorder="1">
      <alignment horizontal="right"/>
    </xf>
    <xf numFmtId="0" fontId="9" fillId="0" borderId="0" xfId="9" applyFont="1" applyAlignment="1">
      <alignment horizontal="right" wrapText="1"/>
    </xf>
    <xf numFmtId="0" fontId="9" fillId="0" borderId="0" xfId="8" applyFont="1" applyAlignment="1">
      <alignment horizontal="left" wrapText="1" indent="1"/>
    </xf>
    <xf numFmtId="166" fontId="9" fillId="0" borderId="0" xfId="10" applyFont="1">
      <alignment horizontal="right"/>
    </xf>
    <xf numFmtId="166" fontId="9" fillId="0" borderId="0" xfId="9" applyNumberFormat="1" applyAlignment="1">
      <alignment horizontal="right" wrapText="1"/>
    </xf>
    <xf numFmtId="0" fontId="8" fillId="0" borderId="0" xfId="8" applyFont="1" applyFill="1" applyAlignment="1">
      <alignment horizontal="right" wrapText="1" indent="1"/>
    </xf>
    <xf numFmtId="165" fontId="8" fillId="0" borderId="0" xfId="1" applyNumberFormat="1" applyFont="1" applyFill="1" applyAlignment="1">
      <alignment wrapText="1"/>
    </xf>
    <xf numFmtId="0" fontId="8" fillId="0" borderId="0" xfId="8">
      <alignment wrapText="1"/>
    </xf>
    <xf numFmtId="0" fontId="7" fillId="0" borderId="0" xfId="8" applyFont="1">
      <alignment wrapText="1"/>
    </xf>
    <xf numFmtId="0" fontId="7" fillId="0" borderId="0" xfId="8" applyFont="1" applyAlignment="1">
      <alignment horizontal="left" wrapText="1"/>
    </xf>
    <xf numFmtId="0" fontId="8" fillId="0" borderId="0" xfId="8" applyFont="1">
      <alignment wrapText="1"/>
    </xf>
    <xf numFmtId="0" fontId="7" fillId="0" borderId="0" xfId="8" applyFont="1" applyFill="1" applyAlignment="1"/>
    <xf numFmtId="3" fontId="8" fillId="0" borderId="0" xfId="0" applyNumberFormat="1" applyFont="1"/>
    <xf numFmtId="3" fontId="8" fillId="0" borderId="0" xfId="8" applyNumberFormat="1" applyAlignment="1">
      <alignment wrapText="1"/>
    </xf>
    <xf numFmtId="3" fontId="8" fillId="0" borderId="0" xfId="10" applyNumberFormat="1" applyAlignment="1"/>
    <xf numFmtId="3" fontId="8" fillId="0" borderId="0" xfId="10" applyNumberFormat="1" applyFont="1" applyAlignment="1"/>
    <xf numFmtId="3" fontId="8" fillId="0" borderId="0" xfId="8" applyNumberFormat="1" applyBorder="1" applyAlignment="1">
      <alignment wrapText="1"/>
    </xf>
    <xf numFmtId="3" fontId="9" fillId="0" borderId="10" xfId="9" applyNumberFormat="1" applyBorder="1" applyAlignment="1"/>
    <xf numFmtId="3" fontId="9" fillId="0" borderId="0" xfId="9" applyNumberFormat="1" applyBorder="1" applyAlignment="1"/>
    <xf numFmtId="3" fontId="9" fillId="0" borderId="10" xfId="7" applyNumberFormat="1" applyAlignment="1"/>
    <xf numFmtId="3" fontId="8" fillId="0" borderId="10" xfId="7" applyNumberFormat="1" applyFont="1" applyAlignment="1"/>
    <xf numFmtId="3" fontId="8" fillId="0" borderId="0" xfId="8" applyNumberFormat="1" applyFont="1">
      <alignment wrapText="1"/>
    </xf>
    <xf numFmtId="0" fontId="7" fillId="0" borderId="0" xfId="8" applyFont="1" applyAlignment="1">
      <alignment wrapText="1"/>
    </xf>
    <xf numFmtId="0" fontId="10" fillId="0" borderId="0" xfId="0" applyFont="1" applyAlignment="1">
      <alignment horizontal="left"/>
    </xf>
    <xf numFmtId="0" fontId="8" fillId="0" borderId="0" xfId="8">
      <alignment wrapText="1"/>
    </xf>
    <xf numFmtId="0" fontId="8" fillId="0" borderId="0" xfId="8" applyAlignment="1">
      <alignment wrapText="1"/>
    </xf>
    <xf numFmtId="0" fontId="8" fillId="0" borderId="0" xfId="8" applyAlignment="1">
      <alignment horizontal="left" wrapText="1"/>
    </xf>
    <xf numFmtId="0" fontId="7" fillId="0" borderId="0" xfId="8" applyFont="1" applyAlignment="1">
      <alignment wrapText="1"/>
    </xf>
    <xf numFmtId="2" fontId="7" fillId="0" borderId="0" xfId="0" quotePrefix="1" applyNumberFormat="1" applyFont="1" applyFill="1" applyBorder="1" applyAlignment="1">
      <alignment vertical="center"/>
    </xf>
    <xf numFmtId="0" fontId="8" fillId="0" borderId="0" xfId="0" applyFont="1" applyAlignment="1">
      <alignment horizontal="right" wrapText="1"/>
    </xf>
    <xf numFmtId="6" fontId="8" fillId="0" borderId="0" xfId="0" quotePrefix="1" applyNumberFormat="1" applyFont="1" applyAlignment="1">
      <alignment horizontal="right"/>
    </xf>
    <xf numFmtId="168" fontId="8" fillId="0" borderId="20" xfId="0" applyNumberFormat="1" applyFont="1" applyFill="1" applyBorder="1"/>
    <xf numFmtId="168" fontId="6" fillId="0" borderId="10" xfId="0" applyNumberFormat="1" applyFont="1" applyFill="1" applyBorder="1"/>
    <xf numFmtId="0" fontId="8" fillId="0" borderId="0" xfId="8">
      <alignment wrapText="1"/>
    </xf>
    <xf numFmtId="0" fontId="8" fillId="0" borderId="0" xfId="8" applyAlignment="1">
      <alignment horizontal="left" wrapText="1" indent="1"/>
    </xf>
    <xf numFmtId="0" fontId="8" fillId="0" borderId="0" xfId="8">
      <alignment wrapText="1"/>
    </xf>
    <xf numFmtId="0" fontId="8" fillId="0" borderId="0" xfId="8" applyAlignment="1">
      <alignment horizontal="left" wrapText="1" indent="1"/>
    </xf>
    <xf numFmtId="0" fontId="8" fillId="0" borderId="0" xfId="8" applyAlignment="1">
      <alignment horizontal="left" wrapText="1" indent="1"/>
    </xf>
    <xf numFmtId="0" fontId="0" fillId="0" borderId="0" xfId="0" applyBorder="1" applyAlignment="1">
      <alignment horizontal="left" vertical="top"/>
    </xf>
    <xf numFmtId="0" fontId="8" fillId="6" borderId="0" xfId="0" applyFont="1" applyFill="1" applyAlignment="1">
      <alignment horizontal="left" wrapText="1"/>
    </xf>
    <xf numFmtId="0" fontId="7" fillId="0" borderId="0" xfId="8" applyFont="1" applyAlignment="1">
      <alignment horizontal="left" wrapText="1"/>
    </xf>
    <xf numFmtId="0" fontId="8" fillId="0" borderId="0" xfId="8" applyAlignment="1">
      <alignment horizontal="left" vertical="center" wrapText="1"/>
    </xf>
    <xf numFmtId="0" fontId="8" fillId="0" borderId="0" xfId="9" applyFont="1" applyFill="1" applyAlignment="1">
      <alignment horizontal="left" wrapText="1"/>
    </xf>
    <xf numFmtId="0" fontId="8" fillId="0" borderId="0" xfId="8">
      <alignment wrapText="1"/>
    </xf>
    <xf numFmtId="0" fontId="19" fillId="0" borderId="0" xfId="8" applyFont="1" applyAlignment="1">
      <alignment horizontal="left" wrapText="1"/>
    </xf>
    <xf numFmtId="0" fontId="7" fillId="0" borderId="0" xfId="8" applyFont="1" applyFill="1" applyAlignment="1">
      <alignment horizontal="left" wrapText="1"/>
    </xf>
    <xf numFmtId="0" fontId="19" fillId="0" borderId="0" xfId="8" applyFont="1" applyFill="1" applyAlignment="1">
      <alignment horizontal="center" wrapText="1"/>
    </xf>
    <xf numFmtId="0" fontId="7" fillId="0" borderId="0" xfId="8" applyFont="1" applyFill="1">
      <alignment wrapText="1"/>
    </xf>
    <xf numFmtId="0" fontId="8" fillId="0" borderId="0" xfId="8" applyFill="1" applyAlignment="1">
      <alignment horizontal="left" wrapText="1"/>
    </xf>
    <xf numFmtId="0" fontId="8" fillId="0" borderId="0" xfId="8" applyAlignment="1">
      <alignment horizontal="left" vertical="top" wrapText="1"/>
    </xf>
    <xf numFmtId="0" fontId="8" fillId="0" borderId="0" xfId="0" applyFont="1" applyAlignment="1">
      <alignment horizontal="justify" vertical="center" wrapText="1"/>
    </xf>
    <xf numFmtId="0" fontId="45" fillId="0" borderId="0" xfId="0" applyFont="1" applyAlignment="1">
      <alignment wrapText="1"/>
    </xf>
    <xf numFmtId="0" fontId="9" fillId="0" borderId="0" xfId="8" applyFont="1" applyAlignment="1">
      <alignment horizontal="left" vertical="top" wrapText="1"/>
    </xf>
    <xf numFmtId="0" fontId="0" fillId="0" borderId="0" xfId="0" applyAlignment="1">
      <alignment wrapText="1"/>
    </xf>
    <xf numFmtId="0" fontId="8" fillId="0" borderId="0" xfId="0" applyFont="1" applyAlignment="1">
      <alignment horizontal="justify" wrapText="1"/>
    </xf>
    <xf numFmtId="0" fontId="8" fillId="0" borderId="0" xfId="8" applyAlignment="1">
      <alignment wrapText="1"/>
    </xf>
    <xf numFmtId="0" fontId="8" fillId="0" borderId="0" xfId="0" applyFont="1" applyAlignment="1">
      <alignment wrapText="1"/>
    </xf>
    <xf numFmtId="0" fontId="7" fillId="0" borderId="0" xfId="0" applyFont="1" applyAlignment="1">
      <alignment horizontal="justify" vertical="center" wrapText="1"/>
    </xf>
    <xf numFmtId="0" fontId="26" fillId="0" borderId="0" xfId="0" applyFont="1" applyAlignment="1">
      <alignment wrapText="1"/>
    </xf>
    <xf numFmtId="0" fontId="7" fillId="0" borderId="0" xfId="8" applyFont="1">
      <alignment wrapText="1"/>
    </xf>
    <xf numFmtId="0" fontId="8" fillId="0" borderId="0" xfId="8" applyAlignment="1">
      <alignment horizontal="left" wrapText="1"/>
    </xf>
    <xf numFmtId="0" fontId="19" fillId="0" borderId="0" xfId="8" applyFont="1" applyFill="1" applyAlignment="1">
      <alignment horizontal="left" wrapText="1"/>
    </xf>
    <xf numFmtId="0" fontId="7" fillId="0" borderId="0" xfId="9" applyFont="1" applyAlignment="1">
      <alignment horizontal="left" vertical="top" wrapText="1"/>
    </xf>
    <xf numFmtId="0" fontId="7" fillId="0" borderId="0" xfId="9" applyFont="1" applyAlignment="1">
      <alignment horizontal="left" vertical="top"/>
    </xf>
    <xf numFmtId="168" fontId="40" fillId="0" borderId="0" xfId="0" applyNumberFormat="1" applyFont="1" applyFill="1" applyBorder="1" applyAlignment="1">
      <alignment horizontal="left" wrapText="1"/>
    </xf>
    <xf numFmtId="0" fontId="26" fillId="0" borderId="0" xfId="0" applyFont="1" applyFill="1" applyAlignment="1">
      <alignment horizontal="left" wrapText="1"/>
    </xf>
    <xf numFmtId="0" fontId="26" fillId="0" borderId="0" xfId="0" applyFont="1" applyFill="1" applyAlignment="1">
      <alignment wrapText="1"/>
    </xf>
    <xf numFmtId="0" fontId="19" fillId="0" borderId="0" xfId="8" applyFont="1" applyFill="1" applyAlignment="1">
      <alignment horizontal="left" vertical="center" wrapText="1"/>
    </xf>
    <xf numFmtId="0" fontId="7" fillId="0" borderId="0" xfId="9" applyFont="1" applyAlignment="1">
      <alignment horizontal="left" wrapText="1"/>
    </xf>
    <xf numFmtId="0" fontId="8" fillId="0" borderId="0" xfId="9" applyFont="1" applyAlignment="1">
      <alignment horizontal="left" wrapText="1"/>
    </xf>
    <xf numFmtId="0" fontId="8" fillId="0" borderId="0" xfId="8" applyFont="1" applyFill="1" applyAlignment="1">
      <alignment horizontal="left" wrapText="1"/>
    </xf>
    <xf numFmtId="0" fontId="0" fillId="0" borderId="0" xfId="0" applyFill="1" applyAlignment="1"/>
    <xf numFmtId="0" fontId="8" fillId="0" borderId="0" xfId="8" applyAlignment="1">
      <alignment horizontal="center" wrapText="1"/>
    </xf>
    <xf numFmtId="0" fontId="8" fillId="0" borderId="0" xfId="9" applyFont="1" applyAlignment="1">
      <alignment horizontal="left" vertical="top" wrapText="1"/>
    </xf>
    <xf numFmtId="0" fontId="0" fillId="0" borderId="0" xfId="0" applyAlignment="1">
      <alignment vertical="top" wrapText="1"/>
    </xf>
    <xf numFmtId="0" fontId="8" fillId="0" borderId="0" xfId="8" applyFont="1">
      <alignment wrapText="1"/>
    </xf>
    <xf numFmtId="0" fontId="9" fillId="0" borderId="0" xfId="9">
      <alignment wrapText="1"/>
    </xf>
    <xf numFmtId="0" fontId="19" fillId="0" borderId="0" xfId="8" applyFont="1" applyAlignment="1">
      <alignment horizontal="center" wrapText="1"/>
    </xf>
    <xf numFmtId="0" fontId="9" fillId="0" borderId="0" xfId="9" applyAlignment="1">
      <alignment horizontal="center" vertical="center" wrapText="1"/>
    </xf>
    <xf numFmtId="0" fontId="0" fillId="0" borderId="0" xfId="0" applyAlignment="1">
      <alignment horizontal="center" vertical="center" wrapText="1"/>
    </xf>
    <xf numFmtId="0" fontId="19" fillId="0" borderId="0" xfId="8" applyFont="1">
      <alignment wrapText="1"/>
    </xf>
    <xf numFmtId="0" fontId="7" fillId="0" borderId="0" xfId="9" applyFont="1" applyFill="1" applyAlignment="1">
      <alignment horizontal="left" wrapText="1"/>
    </xf>
    <xf numFmtId="0" fontId="8" fillId="0" borderId="0" xfId="8" applyAlignment="1">
      <alignment horizontal="left"/>
    </xf>
    <xf numFmtId="0" fontId="7" fillId="0" borderId="0" xfId="9" applyFont="1" applyFill="1" applyAlignment="1">
      <alignment horizontal="left"/>
    </xf>
    <xf numFmtId="0" fontId="8" fillId="0" borderId="0" xfId="9" applyFont="1" applyAlignment="1">
      <alignment horizontal="left" vertical="center" wrapText="1"/>
    </xf>
    <xf numFmtId="0" fontId="7" fillId="0" borderId="0" xfId="0" applyFont="1" applyAlignment="1">
      <alignment horizontal="left" wrapText="1"/>
    </xf>
    <xf numFmtId="0" fontId="7" fillId="0" borderId="0" xfId="8" applyFont="1" applyAlignment="1">
      <alignment vertical="center" wrapText="1"/>
    </xf>
    <xf numFmtId="0" fontId="7" fillId="0" borderId="0" xfId="8" applyFont="1" applyAlignment="1">
      <alignment horizontal="left" vertical="center" wrapText="1"/>
    </xf>
    <xf numFmtId="0" fontId="9" fillId="0" borderId="0" xfId="9" applyBorder="1" applyAlignment="1">
      <alignment horizontal="right" wrapText="1"/>
    </xf>
    <xf numFmtId="0" fontId="9" fillId="0" borderId="0" xfId="9" applyAlignment="1">
      <alignment horizontal="left" wrapText="1"/>
    </xf>
    <xf numFmtId="0" fontId="9" fillId="0" borderId="0" xfId="9" applyAlignment="1">
      <alignment horizontal="right" wrapText="1"/>
    </xf>
    <xf numFmtId="0" fontId="7" fillId="0" borderId="0" xfId="8" applyFont="1" applyAlignment="1">
      <alignment horizontal="left" wrapText="1" indent="1"/>
    </xf>
    <xf numFmtId="0" fontId="19" fillId="0" borderId="0" xfId="9" applyFont="1" applyAlignment="1">
      <alignment horizontal="left" wrapText="1"/>
    </xf>
    <xf numFmtId="0" fontId="8" fillId="0" borderId="0" xfId="8" applyAlignment="1">
      <alignment horizontal="left" wrapText="1" indent="1"/>
    </xf>
    <xf numFmtId="0" fontId="9" fillId="0" borderId="0" xfId="9" applyAlignment="1"/>
    <xf numFmtId="0" fontId="7" fillId="0" borderId="0" xfId="8" applyFont="1" applyAlignment="1">
      <alignment vertical="top" wrapText="1"/>
    </xf>
    <xf numFmtId="0" fontId="0" fillId="0" borderId="0" xfId="0" applyFont="1" applyAlignment="1">
      <alignment wrapText="1"/>
    </xf>
    <xf numFmtId="0" fontId="19" fillId="0" borderId="0" xfId="8" quotePrefix="1" applyFont="1">
      <alignment wrapText="1"/>
    </xf>
    <xf numFmtId="0" fontId="6" fillId="0" borderId="0" xfId="8" quotePrefix="1" applyFont="1">
      <alignment wrapText="1"/>
    </xf>
    <xf numFmtId="0" fontId="9" fillId="0" borderId="0" xfId="9" applyAlignment="1">
      <alignment horizontal="center" wrapText="1"/>
    </xf>
    <xf numFmtId="0" fontId="8" fillId="0" borderId="0" xfId="9" applyFont="1" applyAlignment="1">
      <alignment horizontal="center" wrapText="1"/>
    </xf>
    <xf numFmtId="0" fontId="19" fillId="0" borderId="0" xfId="8" quotePrefix="1" applyFont="1" applyBorder="1" applyAlignment="1">
      <alignment horizontal="center" wrapText="1"/>
    </xf>
    <xf numFmtId="0" fontId="7" fillId="0" borderId="0" xfId="8" applyFont="1" applyAlignment="1">
      <alignment wrapText="1"/>
    </xf>
    <xf numFmtId="0" fontId="1" fillId="0" borderId="0" xfId="0" applyFont="1" applyFill="1"/>
    <xf numFmtId="0" fontId="49" fillId="0" borderId="0" xfId="0" applyFont="1" applyFill="1" applyAlignment="1">
      <alignment wrapText="1"/>
    </xf>
    <xf numFmtId="0" fontId="50" fillId="0" borderId="0" xfId="0" applyFont="1" applyFill="1" applyAlignment="1">
      <alignment wrapText="1"/>
    </xf>
    <xf numFmtId="0" fontId="1" fillId="0" borderId="0" xfId="0" applyFont="1" applyFill="1" applyAlignment="1">
      <alignment wrapText="1"/>
    </xf>
    <xf numFmtId="0" fontId="47" fillId="0" borderId="0" xfId="0" applyFont="1" applyFill="1"/>
    <xf numFmtId="0" fontId="52" fillId="3" borderId="0" xfId="0" applyFont="1" applyFill="1"/>
    <xf numFmtId="0" fontId="52" fillId="3" borderId="0" xfId="0" applyFont="1" applyFill="1" applyAlignment="1">
      <alignment wrapText="1"/>
    </xf>
    <xf numFmtId="0" fontId="52" fillId="0" borderId="0" xfId="0" applyFont="1" applyFill="1"/>
    <xf numFmtId="0" fontId="1" fillId="3" borderId="0" xfId="0" applyFont="1" applyFill="1" applyAlignment="1">
      <alignment wrapText="1"/>
    </xf>
    <xf numFmtId="0" fontId="1" fillId="0" borderId="0" xfId="0" applyFont="1" applyFill="1" applyAlignment="1">
      <alignment horizontal="left" wrapText="1" indent="2"/>
    </xf>
    <xf numFmtId="0" fontId="1" fillId="0" borderId="0" xfId="0" applyFont="1" applyFill="1" applyAlignment="1">
      <alignment horizontal="left" vertical="top" wrapText="1" indent="2"/>
    </xf>
    <xf numFmtId="0" fontId="1" fillId="0" borderId="0" xfId="0" applyFont="1" applyFill="1" applyAlignment="1">
      <alignment vertical="top" wrapText="1"/>
    </xf>
    <xf numFmtId="0" fontId="1" fillId="0" borderId="0" xfId="0" applyFont="1"/>
    <xf numFmtId="0" fontId="52" fillId="4" borderId="0" xfId="0" applyFont="1" applyFill="1"/>
    <xf numFmtId="0" fontId="1" fillId="4" borderId="0" xfId="0" applyFont="1" applyFill="1" applyAlignment="1">
      <alignment wrapText="1"/>
    </xf>
    <xf numFmtId="49" fontId="1" fillId="0" borderId="0" xfId="0" applyNumberFormat="1" applyFont="1" applyFill="1" applyAlignment="1">
      <alignment horizontal="right" vertical="top"/>
    </xf>
    <xf numFmtId="49" fontId="1" fillId="0" borderId="0" xfId="0" applyNumberFormat="1" applyFont="1" applyFill="1" applyAlignment="1">
      <alignment horizontal="right"/>
    </xf>
    <xf numFmtId="0" fontId="47" fillId="0" borderId="0" xfId="0" applyFont="1" applyFill="1" applyAlignment="1">
      <alignment horizontal="left" wrapText="1" indent="3"/>
    </xf>
    <xf numFmtId="0" fontId="55" fillId="0" borderId="0" xfId="0" applyFont="1" applyFill="1" applyAlignment="1">
      <alignment wrapText="1"/>
    </xf>
    <xf numFmtId="0" fontId="49" fillId="0" borderId="0" xfId="0" applyFont="1" applyFill="1" applyAlignment="1">
      <alignment horizontal="center" wrapText="1"/>
    </xf>
  </cellXfs>
  <cellStyles count="19">
    <cellStyle name="_Calc" xfId="15"/>
    <cellStyle name="_CalcTotal" xfId="16"/>
    <cellStyle name="Bold text" xfId="9"/>
    <cellStyle name="Bold value" xfId="11"/>
    <cellStyle name="Comma" xfId="1" builtinId="3"/>
    <cellStyle name="Grand total" xfId="7"/>
    <cellStyle name="Heading 1" xfId="2" builtinId="16" customBuiltin="1"/>
    <cellStyle name="Heading 2" xfId="3" builtinId="17" customBuiltin="1"/>
    <cellStyle name="Heading 3" xfId="4" builtinId="18" customBuiltin="1"/>
    <cellStyle name="Heading 4" xfId="5" builtinId="19" customBuiltin="1"/>
    <cellStyle name="Normal" xfId="0" builtinId="0"/>
    <cellStyle name="Normal 2" xfId="18"/>
    <cellStyle name="Normal 2 2" xfId="14"/>
    <cellStyle name="Normal text" xfId="8"/>
    <cellStyle name="Normal_ACCOUNTS" xfId="13"/>
    <cellStyle name="Normal_Rough PCT-SHA initial draft excel master for Q3" xfId="17"/>
    <cellStyle name="Percentage%" xfId="12"/>
    <cellStyle name="Sub total" xfId="6"/>
    <cellStyle name="Value" xfId="10"/>
  </cellStyles>
  <dxfs count="0"/>
  <tableStyles count="0" defaultTableStyle="TableStyleMedium2" defaultPivotStyle="PivotStyleLight16"/>
  <colors>
    <mruColors>
      <color rgb="FFFFFFFF"/>
      <color rgb="FF00FFFF"/>
      <color rgb="FFFFFF99"/>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2:L91"/>
  <sheetViews>
    <sheetView workbookViewId="0">
      <selection sqref="A1:XFD1048576"/>
    </sheetView>
  </sheetViews>
  <sheetFormatPr defaultColWidth="9.109375" defaultRowHeight="13.8" x14ac:dyDescent="0.25"/>
  <cols>
    <col min="1" max="1" width="3.33203125" style="973" customWidth="1"/>
    <col min="2" max="2" width="83.6640625" style="976" customWidth="1"/>
    <col min="3" max="3" width="25.109375" style="973" customWidth="1"/>
    <col min="4" max="4" width="19.33203125" style="973" customWidth="1"/>
    <col min="5" max="16384" width="9.109375" style="973"/>
  </cols>
  <sheetData>
    <row r="2" spans="1:4" ht="24.75" customHeight="1" x14ac:dyDescent="0.4">
      <c r="B2" s="974" t="s">
        <v>852</v>
      </c>
    </row>
    <row r="3" spans="1:4" ht="18" customHeight="1" x14ac:dyDescent="0.4">
      <c r="B3" s="974"/>
    </row>
    <row r="4" spans="1:4" ht="13.95" customHeight="1" x14ac:dyDescent="0.3">
      <c r="B4" s="975" t="s">
        <v>1242</v>
      </c>
    </row>
    <row r="5" spans="1:4" x14ac:dyDescent="0.25">
      <c r="D5" s="977"/>
    </row>
    <row r="6" spans="1:4" s="980" customFormat="1" ht="15.6" x14ac:dyDescent="0.3">
      <c r="A6" s="978" t="s">
        <v>490</v>
      </c>
      <c r="B6" s="979"/>
    </row>
    <row r="8" spans="1:4" ht="27.6" x14ac:dyDescent="0.25">
      <c r="B8" s="976" t="s">
        <v>919</v>
      </c>
    </row>
    <row r="10" spans="1:4" ht="90.75" customHeight="1" x14ac:dyDescent="0.25">
      <c r="B10" s="976" t="s">
        <v>1243</v>
      </c>
      <c r="C10" s="976"/>
    </row>
    <row r="12" spans="1:4" ht="89.7" customHeight="1" x14ac:dyDescent="0.25">
      <c r="B12" s="976" t="s">
        <v>1244</v>
      </c>
      <c r="C12" s="976"/>
    </row>
    <row r="14" spans="1:4" ht="106.2" customHeight="1" x14ac:dyDescent="0.25">
      <c r="B14" s="976" t="s">
        <v>678</v>
      </c>
    </row>
    <row r="16" spans="1:4" ht="41.4" x14ac:dyDescent="0.25">
      <c r="B16" s="976" t="s">
        <v>679</v>
      </c>
      <c r="C16" s="976"/>
    </row>
    <row r="18" spans="1:6" ht="15.6" x14ac:dyDescent="0.3">
      <c r="A18" s="978" t="s">
        <v>540</v>
      </c>
      <c r="B18" s="981"/>
    </row>
    <row r="20" spans="1:6" ht="41.4" x14ac:dyDescent="0.25">
      <c r="B20" s="976" t="s">
        <v>673</v>
      </c>
    </row>
    <row r="21" spans="1:6" ht="27.6" x14ac:dyDescent="0.25">
      <c r="B21" s="982" t="s">
        <v>1245</v>
      </c>
    </row>
    <row r="22" spans="1:6" ht="82.8" x14ac:dyDescent="0.25">
      <c r="B22" s="983" t="s">
        <v>1246</v>
      </c>
    </row>
    <row r="24" spans="1:6" ht="27.6" x14ac:dyDescent="0.25">
      <c r="B24" s="976" t="s">
        <v>491</v>
      </c>
    </row>
    <row r="26" spans="1:6" ht="82.8" x14ac:dyDescent="0.25">
      <c r="B26" s="984" t="s">
        <v>680</v>
      </c>
    </row>
    <row r="28" spans="1:6" ht="92.25" customHeight="1" x14ac:dyDescent="0.25">
      <c r="B28" s="984" t="s">
        <v>1247</v>
      </c>
    </row>
    <row r="30" spans="1:6" ht="15.6" x14ac:dyDescent="0.3">
      <c r="A30" s="978" t="s">
        <v>518</v>
      </c>
      <c r="B30" s="981"/>
    </row>
    <row r="32" spans="1:6" ht="60.75" customHeight="1" x14ac:dyDescent="0.25">
      <c r="B32" s="976" t="s">
        <v>520</v>
      </c>
      <c r="E32" s="985"/>
      <c r="F32" s="985"/>
    </row>
    <row r="33" spans="1:12" x14ac:dyDescent="0.25">
      <c r="E33" s="985"/>
      <c r="F33" s="985"/>
    </row>
    <row r="34" spans="1:12" ht="75.45" customHeight="1" x14ac:dyDescent="0.25">
      <c r="B34" s="976" t="s">
        <v>1248</v>
      </c>
    </row>
    <row r="36" spans="1:12" x14ac:dyDescent="0.25">
      <c r="B36" s="976" t="s">
        <v>658</v>
      </c>
    </row>
    <row r="38" spans="1:12" ht="15.6" x14ac:dyDescent="0.3">
      <c r="A38" s="986" t="s">
        <v>670</v>
      </c>
      <c r="B38" s="987"/>
    </row>
    <row r="40" spans="1:12" ht="27.6" x14ac:dyDescent="0.25">
      <c r="B40" s="976" t="s">
        <v>521</v>
      </c>
    </row>
    <row r="42" spans="1:12" ht="27.6" x14ac:dyDescent="0.25">
      <c r="A42" s="988" t="s">
        <v>500</v>
      </c>
      <c r="B42" s="976" t="s">
        <v>522</v>
      </c>
      <c r="D42" s="976"/>
      <c r="E42" s="976"/>
      <c r="F42" s="976"/>
      <c r="G42" s="976"/>
      <c r="H42" s="976"/>
      <c r="I42" s="976"/>
      <c r="J42" s="976"/>
      <c r="K42" s="976"/>
      <c r="L42" s="976"/>
    </row>
    <row r="43" spans="1:12" x14ac:dyDescent="0.25">
      <c r="A43" s="988" t="s">
        <v>504</v>
      </c>
      <c r="B43" s="976" t="s">
        <v>501</v>
      </c>
      <c r="D43" s="976"/>
      <c r="E43" s="976"/>
      <c r="F43" s="976"/>
      <c r="G43" s="976"/>
      <c r="H43" s="976"/>
      <c r="I43" s="976"/>
      <c r="J43" s="976"/>
      <c r="K43" s="976"/>
      <c r="L43" s="976"/>
    </row>
    <row r="44" spans="1:12" ht="27.6" x14ac:dyDescent="0.25">
      <c r="A44" s="988" t="s">
        <v>502</v>
      </c>
      <c r="B44" s="976" t="s">
        <v>506</v>
      </c>
      <c r="D44" s="976"/>
      <c r="E44" s="976"/>
      <c r="F44" s="976"/>
      <c r="G44" s="976"/>
      <c r="H44" s="976"/>
      <c r="I44" s="976"/>
      <c r="J44" s="976"/>
      <c r="K44" s="976"/>
      <c r="L44" s="976"/>
    </row>
    <row r="45" spans="1:12" x14ac:dyDescent="0.25">
      <c r="A45" s="988" t="s">
        <v>503</v>
      </c>
      <c r="B45" s="976" t="s">
        <v>663</v>
      </c>
      <c r="D45" s="976"/>
      <c r="E45" s="976"/>
      <c r="F45" s="976"/>
      <c r="G45" s="976"/>
      <c r="H45" s="976"/>
      <c r="I45" s="976"/>
      <c r="J45" s="976"/>
      <c r="K45" s="976"/>
      <c r="L45" s="976"/>
    </row>
    <row r="46" spans="1:12" ht="41.4" x14ac:dyDescent="0.25">
      <c r="A46" s="988" t="s">
        <v>505</v>
      </c>
      <c r="B46" s="976" t="s">
        <v>517</v>
      </c>
      <c r="D46" s="976"/>
      <c r="E46" s="976"/>
      <c r="F46" s="976"/>
      <c r="G46" s="976"/>
      <c r="H46" s="976"/>
      <c r="I46" s="976"/>
      <c r="J46" s="976"/>
      <c r="K46" s="976"/>
      <c r="L46" s="976"/>
    </row>
    <row r="47" spans="1:12" x14ac:dyDescent="0.25">
      <c r="A47" s="989"/>
      <c r="D47" s="976"/>
      <c r="E47" s="976"/>
      <c r="F47" s="976"/>
      <c r="G47" s="976"/>
      <c r="H47" s="976"/>
      <c r="I47" s="976"/>
      <c r="J47" s="976"/>
      <c r="K47" s="976"/>
      <c r="L47" s="976"/>
    </row>
    <row r="48" spans="1:12" ht="15.6" x14ac:dyDescent="0.3">
      <c r="A48" s="986" t="s">
        <v>671</v>
      </c>
      <c r="B48" s="987"/>
      <c r="D48" s="976"/>
      <c r="E48" s="976"/>
      <c r="F48" s="976"/>
      <c r="G48" s="976"/>
      <c r="H48" s="976"/>
      <c r="I48" s="976"/>
      <c r="J48" s="976"/>
      <c r="K48" s="976"/>
      <c r="L48" s="976"/>
    </row>
    <row r="49" spans="1:12" x14ac:dyDescent="0.25">
      <c r="D49" s="976"/>
      <c r="E49" s="976"/>
      <c r="F49" s="976"/>
      <c r="G49" s="976"/>
      <c r="H49" s="976"/>
      <c r="I49" s="976"/>
      <c r="J49" s="976"/>
      <c r="K49" s="976"/>
      <c r="L49" s="976"/>
    </row>
    <row r="50" spans="1:12" ht="41.4" x14ac:dyDescent="0.25">
      <c r="B50" s="976" t="s">
        <v>664</v>
      </c>
      <c r="D50" s="976"/>
      <c r="E50" s="976"/>
      <c r="F50" s="976"/>
      <c r="G50" s="976"/>
      <c r="H50" s="976"/>
      <c r="I50" s="976"/>
      <c r="J50" s="976"/>
      <c r="K50" s="976"/>
      <c r="L50" s="976"/>
    </row>
    <row r="51" spans="1:12" x14ac:dyDescent="0.25">
      <c r="D51" s="976"/>
      <c r="E51" s="976"/>
      <c r="F51" s="976"/>
      <c r="G51" s="976"/>
      <c r="H51" s="976"/>
      <c r="I51" s="976"/>
      <c r="J51" s="976"/>
      <c r="K51" s="976"/>
      <c r="L51" s="976"/>
    </row>
    <row r="52" spans="1:12" ht="55.2" x14ac:dyDescent="0.25">
      <c r="B52" s="976" t="s">
        <v>659</v>
      </c>
      <c r="D52" s="976"/>
      <c r="E52" s="976"/>
      <c r="F52" s="976"/>
      <c r="G52" s="976"/>
      <c r="H52" s="976"/>
      <c r="I52" s="976"/>
      <c r="J52" s="976"/>
      <c r="K52" s="976"/>
      <c r="L52" s="976"/>
    </row>
    <row r="53" spans="1:12" x14ac:dyDescent="0.25">
      <c r="D53" s="976"/>
      <c r="E53" s="976"/>
      <c r="F53" s="976"/>
      <c r="G53" s="976"/>
      <c r="H53" s="976"/>
      <c r="I53" s="976"/>
      <c r="J53" s="976"/>
      <c r="K53" s="976"/>
      <c r="L53" s="976"/>
    </row>
    <row r="54" spans="1:12" ht="15.6" x14ac:dyDescent="0.3">
      <c r="A54" s="986" t="s">
        <v>492</v>
      </c>
      <c r="B54" s="987"/>
      <c r="D54" s="976"/>
      <c r="E54" s="976"/>
      <c r="F54" s="976"/>
      <c r="G54" s="976"/>
      <c r="H54" s="976"/>
      <c r="I54" s="976"/>
      <c r="J54" s="976"/>
      <c r="K54" s="976"/>
      <c r="L54" s="976"/>
    </row>
    <row r="56" spans="1:12" x14ac:dyDescent="0.25">
      <c r="B56" s="976" t="s">
        <v>496</v>
      </c>
    </row>
    <row r="57" spans="1:12" ht="27.6" x14ac:dyDescent="0.25">
      <c r="B57" s="976" t="s">
        <v>665</v>
      </c>
    </row>
    <row r="58" spans="1:12" ht="55.2" x14ac:dyDescent="0.25">
      <c r="B58" s="976" t="s">
        <v>519</v>
      </c>
    </row>
    <row r="59" spans="1:12" ht="41.4" x14ac:dyDescent="0.25">
      <c r="B59" s="976" t="s">
        <v>497</v>
      </c>
    </row>
    <row r="60" spans="1:12" x14ac:dyDescent="0.25">
      <c r="B60" s="976" t="s">
        <v>943</v>
      </c>
    </row>
    <row r="61" spans="1:12" ht="55.2" x14ac:dyDescent="0.25">
      <c r="B61" s="990" t="s">
        <v>1249</v>
      </c>
    </row>
    <row r="62" spans="1:12" x14ac:dyDescent="0.25">
      <c r="B62" s="976" t="s">
        <v>493</v>
      </c>
    </row>
    <row r="63" spans="1:12" ht="41.4" x14ac:dyDescent="0.25">
      <c r="B63" s="976" t="s">
        <v>944</v>
      </c>
    </row>
    <row r="64" spans="1:12" ht="55.2" x14ac:dyDescent="0.25">
      <c r="B64" s="990" t="s">
        <v>1250</v>
      </c>
    </row>
    <row r="66" spans="1:2" ht="15.6" x14ac:dyDescent="0.3">
      <c r="A66" s="986" t="s">
        <v>494</v>
      </c>
      <c r="B66" s="987"/>
    </row>
    <row r="68" spans="1:2" ht="92.25" customHeight="1" x14ac:dyDescent="0.25">
      <c r="B68" s="991" t="s">
        <v>498</v>
      </c>
    </row>
    <row r="70" spans="1:2" ht="61.5" customHeight="1" x14ac:dyDescent="0.25">
      <c r="B70" s="976" t="s">
        <v>535</v>
      </c>
    </row>
    <row r="71" spans="1:2" ht="14.25" customHeight="1" x14ac:dyDescent="0.25"/>
    <row r="72" spans="1:2" ht="162" customHeight="1" x14ac:dyDescent="0.25">
      <c r="B72" s="976" t="s">
        <v>1251</v>
      </c>
    </row>
    <row r="74" spans="1:2" ht="96.6" x14ac:dyDescent="0.25">
      <c r="B74" s="976" t="s">
        <v>554</v>
      </c>
    </row>
    <row r="76" spans="1:2" ht="15.6" x14ac:dyDescent="0.3">
      <c r="A76" s="986" t="s">
        <v>660</v>
      </c>
      <c r="B76" s="987"/>
    </row>
    <row r="77" spans="1:2" ht="15.6" x14ac:dyDescent="0.3">
      <c r="A77" s="980"/>
    </row>
    <row r="78" spans="1:2" ht="69.599999999999994" x14ac:dyDescent="0.3">
      <c r="A78" s="980"/>
      <c r="B78" s="976" t="s">
        <v>870</v>
      </c>
    </row>
    <row r="79" spans="1:2" ht="15.6" x14ac:dyDescent="0.3">
      <c r="A79" s="980"/>
    </row>
    <row r="80" spans="1:2" ht="27.6" x14ac:dyDescent="0.25">
      <c r="A80" s="988" t="s">
        <v>500</v>
      </c>
      <c r="B80" s="976" t="s">
        <v>499</v>
      </c>
    </row>
    <row r="81" spans="1:2" x14ac:dyDescent="0.25">
      <c r="A81" s="988" t="s">
        <v>504</v>
      </c>
      <c r="B81" s="976" t="s">
        <v>501</v>
      </c>
    </row>
    <row r="82" spans="1:2" ht="27.6" x14ac:dyDescent="0.25">
      <c r="A82" s="988" t="s">
        <v>502</v>
      </c>
      <c r="B82" s="976" t="s">
        <v>666</v>
      </c>
    </row>
    <row r="83" spans="1:2" x14ac:dyDescent="0.25">
      <c r="B83" s="973"/>
    </row>
    <row r="84" spans="1:2" s="980" customFormat="1" ht="15.6" x14ac:dyDescent="0.3">
      <c r="A84" s="978" t="s">
        <v>495</v>
      </c>
      <c r="B84" s="979"/>
    </row>
    <row r="86" spans="1:2" ht="27.6" x14ac:dyDescent="0.25">
      <c r="B86" s="976" t="s">
        <v>871</v>
      </c>
    </row>
    <row r="88" spans="1:2" x14ac:dyDescent="0.25">
      <c r="B88" s="976" t="s">
        <v>661</v>
      </c>
    </row>
    <row r="90" spans="1:2" x14ac:dyDescent="0.25">
      <c r="A90" s="977"/>
    </row>
    <row r="91" spans="1:2" x14ac:dyDescent="0.25">
      <c r="A91" s="977"/>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zoomScaleNormal="100" workbookViewId="0">
      <selection sqref="A1:XFD1048576"/>
    </sheetView>
  </sheetViews>
  <sheetFormatPr defaultColWidth="9.109375" defaultRowHeight="11.4" x14ac:dyDescent="0.2"/>
  <cols>
    <col min="1" max="1" width="1.33203125" style="680" customWidth="1"/>
    <col min="2" max="2" width="85.6640625" style="677" customWidth="1"/>
    <col min="3" max="3" width="12.109375" style="677" customWidth="1"/>
    <col min="4" max="4" width="89.6640625" style="677" customWidth="1"/>
    <col min="5" max="16384" width="9.109375" style="673"/>
  </cols>
  <sheetData>
    <row r="1" spans="1:4" ht="12" x14ac:dyDescent="0.25">
      <c r="B1" s="678" t="s">
        <v>474</v>
      </c>
    </row>
    <row r="2" spans="1:4" ht="12" x14ac:dyDescent="0.25">
      <c r="A2" s="680">
        <f>'Acc''g policies 1'!A5+1</f>
        <v>2</v>
      </c>
      <c r="B2" s="678" t="str">
        <f>"Note 1." &amp; A2 &amp;" Critical judgements in applying accounting policies"</f>
        <v>Note 1.2 Critical judgements in applying accounting policies</v>
      </c>
      <c r="C2" s="682"/>
      <c r="D2" s="682"/>
    </row>
    <row r="3" spans="1:4" s="767" customFormat="1" ht="7.2" customHeight="1" x14ac:dyDescent="0.25">
      <c r="A3" s="722"/>
      <c r="B3" s="678"/>
      <c r="C3" s="682"/>
      <c r="D3" s="682"/>
    </row>
    <row r="4" spans="1:4" ht="68.400000000000006" x14ac:dyDescent="0.2">
      <c r="B4" s="687" t="s">
        <v>958</v>
      </c>
      <c r="C4" s="682"/>
      <c r="D4" s="682"/>
    </row>
    <row r="5" spans="1:4" ht="11.4" customHeight="1" x14ac:dyDescent="0.2">
      <c r="B5" s="687" t="s">
        <v>959</v>
      </c>
      <c r="C5" s="682"/>
      <c r="D5" s="682"/>
    </row>
    <row r="6" spans="1:4" ht="10.8" customHeight="1" x14ac:dyDescent="0.2">
      <c r="B6" s="687"/>
      <c r="C6" s="682"/>
      <c r="D6" s="682"/>
    </row>
    <row r="7" spans="1:4" ht="11.4" customHeight="1" x14ac:dyDescent="0.2">
      <c r="B7" s="702" t="s">
        <v>960</v>
      </c>
      <c r="C7" s="682"/>
      <c r="D7" s="682"/>
    </row>
    <row r="8" spans="1:4" x14ac:dyDescent="0.2">
      <c r="B8" s="699" t="s">
        <v>1224</v>
      </c>
      <c r="C8" s="682"/>
      <c r="D8" s="682"/>
    </row>
    <row r="9" spans="1:4" x14ac:dyDescent="0.2">
      <c r="B9" s="703" t="s">
        <v>1225</v>
      </c>
    </row>
    <row r="10" spans="1:4" ht="22.8" x14ac:dyDescent="0.2">
      <c r="B10" s="703" t="s">
        <v>1080</v>
      </c>
    </row>
    <row r="11" spans="1:4" x14ac:dyDescent="0.2">
      <c r="B11" s="700" t="s">
        <v>961</v>
      </c>
    </row>
    <row r="12" spans="1:4" x14ac:dyDescent="0.2">
      <c r="B12" s="689"/>
    </row>
    <row r="13" spans="1:4" ht="22.8" x14ac:dyDescent="0.2">
      <c r="B13" s="690" t="s">
        <v>962</v>
      </c>
    </row>
    <row r="14" spans="1:4" x14ac:dyDescent="0.2">
      <c r="B14" s="690"/>
    </row>
    <row r="15" spans="1:4" x14ac:dyDescent="0.2">
      <c r="B15" s="688" t="s">
        <v>963</v>
      </c>
    </row>
    <row r="16" spans="1:4" x14ac:dyDescent="0.2">
      <c r="B16" s="691" t="s">
        <v>964</v>
      </c>
    </row>
    <row r="17" spans="1:4" x14ac:dyDescent="0.2">
      <c r="B17" s="694" t="s">
        <v>965</v>
      </c>
    </row>
    <row r="18" spans="1:4" x14ac:dyDescent="0.2">
      <c r="B18" s="687"/>
    </row>
    <row r="19" spans="1:4" ht="45.6" x14ac:dyDescent="0.2">
      <c r="B19" s="692" t="s">
        <v>966</v>
      </c>
    </row>
    <row r="20" spans="1:4" s="894" customFormat="1" x14ac:dyDescent="0.2">
      <c r="A20" s="722"/>
      <c r="B20" s="692"/>
      <c r="C20" s="895"/>
      <c r="D20" s="895"/>
    </row>
    <row r="21" spans="1:4" ht="91.2" x14ac:dyDescent="0.2">
      <c r="B21" s="590" t="s">
        <v>1231</v>
      </c>
    </row>
    <row r="22" spans="1:4" s="894" customFormat="1" x14ac:dyDescent="0.2">
      <c r="A22" s="722"/>
      <c r="B22" s="590"/>
      <c r="C22" s="895"/>
      <c r="D22" s="895"/>
    </row>
    <row r="23" spans="1:4" ht="12" x14ac:dyDescent="0.25">
      <c r="A23" s="680">
        <f>A2+1</f>
        <v>3</v>
      </c>
      <c r="B23" s="678" t="str">
        <f>"Note 1." &amp; A23 &amp;" Associates and Interests in other entities"</f>
        <v>Note 1.3 Associates and Interests in other entities</v>
      </c>
    </row>
    <row r="24" spans="1:4" s="767" customFormat="1" ht="12" x14ac:dyDescent="0.25">
      <c r="A24" s="722"/>
      <c r="B24" s="678"/>
      <c r="C24" s="721"/>
      <c r="D24" s="721"/>
    </row>
    <row r="25" spans="1:4" ht="35.4" customHeight="1" x14ac:dyDescent="0.2">
      <c r="B25" s="693" t="s">
        <v>967</v>
      </c>
    </row>
    <row r="26" spans="1:4" ht="6.6" customHeight="1" x14ac:dyDescent="0.2"/>
    <row r="27" spans="1:4" ht="12" x14ac:dyDescent="0.25">
      <c r="A27" s="680">
        <f>A23+1</f>
        <v>4</v>
      </c>
      <c r="B27" s="678" t="str">
        <f>"Note 1." &amp; A27 &amp;" Revenue Recognition"</f>
        <v>Note 1.4 Revenue Recognition</v>
      </c>
    </row>
    <row r="28" spans="1:4" s="767" customFormat="1" ht="9" customHeight="1" x14ac:dyDescent="0.25">
      <c r="A28" s="722"/>
      <c r="B28" s="678"/>
      <c r="C28" s="721"/>
      <c r="D28" s="721"/>
    </row>
    <row r="29" spans="1:4" s="767" customFormat="1" x14ac:dyDescent="0.2">
      <c r="A29" s="722"/>
      <c r="B29" s="413" t="s">
        <v>1115</v>
      </c>
      <c r="C29" s="721"/>
      <c r="D29" s="721"/>
    </row>
    <row r="30" spans="1:4" ht="35.4" customHeight="1" x14ac:dyDescent="0.2">
      <c r="B30" s="677" t="s">
        <v>1116</v>
      </c>
    </row>
    <row r="31" spans="1:4" ht="94.2" customHeight="1" x14ac:dyDescent="0.2">
      <c r="B31" s="789" t="s">
        <v>1117</v>
      </c>
      <c r="D31" s="721"/>
    </row>
    <row r="32" spans="1:4" ht="22.8" x14ac:dyDescent="0.2">
      <c r="B32" s="782" t="s">
        <v>1118</v>
      </c>
    </row>
    <row r="33" spans="2:4" ht="45.6" x14ac:dyDescent="0.2">
      <c r="B33" s="677" t="s">
        <v>1119</v>
      </c>
    </row>
    <row r="34" spans="2:4" x14ac:dyDescent="0.2">
      <c r="B34" s="333"/>
    </row>
    <row r="35" spans="2:4" x14ac:dyDescent="0.2">
      <c r="D35" s="721"/>
    </row>
  </sheetData>
  <pageMargins left="0.70866141732283472" right="0.70866141732283472" top="0.74803149606299213" bottom="0.74803149606299213" header="0.31496062992125984" footer="0.31496062992125984"/>
  <pageSetup paperSize="9" fitToHeight="0" orientation="portrait" r:id="rId1"/>
  <headerFooter>
    <oddHeader>&amp;C&amp;10Hull University Teaching Hospitals NHS Trust - Annual Accounts 2018/19</oddHeader>
    <oddFooter>&amp;C&amp;10Page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zoomScaleNormal="100" workbookViewId="0">
      <selection activeCell="B30" sqref="B30:F32"/>
    </sheetView>
  </sheetViews>
  <sheetFormatPr defaultColWidth="9.109375" defaultRowHeight="11.4" x14ac:dyDescent="0.2"/>
  <cols>
    <col min="1" max="1" width="1.33203125" style="257" customWidth="1"/>
    <col min="2" max="2" width="85.6640625" style="33" customWidth="1"/>
    <col min="3" max="3" width="12.109375" style="33" customWidth="1"/>
    <col min="4" max="4" width="89.6640625" style="33" customWidth="1"/>
    <col min="5" max="16384" width="9.109375" style="327"/>
  </cols>
  <sheetData>
    <row r="1" spans="1:4" ht="12" x14ac:dyDescent="0.25">
      <c r="A1" s="257">
        <f>'Acc''g policies 1'!A51+1</f>
        <v>4</v>
      </c>
      <c r="B1" s="36"/>
    </row>
    <row r="2" spans="1:4" s="894" customFormat="1" ht="10.199999999999999" customHeight="1" x14ac:dyDescent="0.25">
      <c r="A2" s="722"/>
      <c r="B2" s="678"/>
      <c r="C2" s="895"/>
      <c r="D2" s="895"/>
    </row>
    <row r="3" spans="1:4" ht="12" x14ac:dyDescent="0.25">
      <c r="A3" s="72">
        <f>A1+1</f>
        <v>5</v>
      </c>
      <c r="B3" s="335" t="str">
        <f>"Note 1." &amp; A3 &amp;" Measurement"</f>
        <v>Note 1.5 Measurement</v>
      </c>
    </row>
    <row r="4" spans="1:4" s="767" customFormat="1" ht="12" x14ac:dyDescent="0.25">
      <c r="A4" s="368"/>
      <c r="B4" s="335"/>
      <c r="C4" s="721"/>
      <c r="D4" s="721"/>
    </row>
    <row r="5" spans="1:4" ht="34.200000000000003" x14ac:dyDescent="0.2">
      <c r="B5" s="369" t="s">
        <v>968</v>
      </c>
    </row>
    <row r="6" spans="1:4" s="767" customFormat="1" x14ac:dyDescent="0.2">
      <c r="A6" s="722"/>
      <c r="B6" s="687"/>
      <c r="C6" s="721"/>
      <c r="D6" s="721"/>
    </row>
    <row r="8" spans="1:4" ht="12" x14ac:dyDescent="0.25">
      <c r="A8" s="72">
        <f>A3+1</f>
        <v>6</v>
      </c>
      <c r="B8" s="335" t="str">
        <f>"Note 1." &amp; A8 &amp;" Expenditure on employee beneifits"</f>
        <v>Note 1.6 Expenditure on employee beneifits</v>
      </c>
    </row>
    <row r="9" spans="1:4" s="767" customFormat="1" ht="12" x14ac:dyDescent="0.25">
      <c r="A9" s="368"/>
      <c r="B9" s="335"/>
      <c r="C9" s="721"/>
      <c r="D9" s="721"/>
    </row>
    <row r="10" spans="1:4" s="366" customFormat="1" ht="12" x14ac:dyDescent="0.2">
      <c r="A10" s="368"/>
      <c r="B10" s="370" t="s">
        <v>969</v>
      </c>
      <c r="C10" s="367"/>
      <c r="D10" s="367"/>
    </row>
    <row r="11" spans="1:4" ht="37.950000000000003" customHeight="1" x14ac:dyDescent="0.2">
      <c r="A11" s="72"/>
      <c r="B11" s="371" t="s">
        <v>970</v>
      </c>
    </row>
    <row r="12" spans="1:4" s="767" customFormat="1" ht="11.4" customHeight="1" x14ac:dyDescent="0.2">
      <c r="A12" s="368"/>
      <c r="B12" s="371"/>
      <c r="C12" s="721"/>
      <c r="D12" s="721"/>
    </row>
    <row r="13" spans="1:4" ht="12" x14ac:dyDescent="0.25">
      <c r="B13" s="36" t="s">
        <v>971</v>
      </c>
    </row>
    <row r="14" spans="1:4" ht="106.95" customHeight="1" x14ac:dyDescent="0.2">
      <c r="B14" s="372" t="s">
        <v>972</v>
      </c>
    </row>
    <row r="16" spans="1:4" s="767" customFormat="1" x14ac:dyDescent="0.2">
      <c r="A16" s="722"/>
      <c r="B16" s="721"/>
      <c r="C16" s="721"/>
      <c r="D16" s="721"/>
    </row>
    <row r="17" spans="1:4" ht="12" x14ac:dyDescent="0.25">
      <c r="A17" s="257">
        <f>A8+1</f>
        <v>7</v>
      </c>
      <c r="B17" s="36" t="str">
        <f>"Note 1." &amp; A17 &amp;" Expenditure on other goods and services"</f>
        <v>Note 1.7 Expenditure on other goods and services</v>
      </c>
    </row>
    <row r="18" spans="1:4" ht="12" x14ac:dyDescent="0.25">
      <c r="B18" s="36"/>
    </row>
    <row r="19" spans="1:4" ht="22.8" x14ac:dyDescent="0.2">
      <c r="B19" s="38" t="s">
        <v>973</v>
      </c>
    </row>
    <row r="22" spans="1:4" ht="12" x14ac:dyDescent="0.25">
      <c r="A22" s="257">
        <f>A17+1</f>
        <v>8</v>
      </c>
      <c r="B22" s="678" t="str">
        <f>"Note 1."&amp;A22 &amp; " Property, plant and equipment"</f>
        <v>Note 1.8 Property, plant and equipment</v>
      </c>
    </row>
    <row r="24" spans="1:4" ht="12" x14ac:dyDescent="0.25">
      <c r="A24" s="257">
        <f>A22+0.1</f>
        <v>8.1</v>
      </c>
      <c r="B24" s="678" t="str">
        <f>"Note 1."&amp;A24 &amp; " Recognition"</f>
        <v>Note 1.8.1 Recognition</v>
      </c>
    </row>
    <row r="25" spans="1:4" s="767" customFormat="1" ht="12" x14ac:dyDescent="0.25">
      <c r="A25" s="722"/>
      <c r="B25" s="678"/>
      <c r="C25" s="721"/>
      <c r="D25" s="721"/>
    </row>
    <row r="26" spans="1:4" x14ac:dyDescent="0.2">
      <c r="B26" s="376" t="s">
        <v>974</v>
      </c>
    </row>
    <row r="27" spans="1:4" s="38" customFormat="1" ht="16.2" customHeight="1" x14ac:dyDescent="0.3">
      <c r="A27" s="790"/>
      <c r="B27" s="791" t="s">
        <v>975</v>
      </c>
    </row>
    <row r="28" spans="1:4" s="38" customFormat="1" ht="16.2" customHeight="1" x14ac:dyDescent="0.3">
      <c r="A28" s="790"/>
      <c r="B28" s="791" t="s">
        <v>976</v>
      </c>
    </row>
    <row r="29" spans="1:4" s="38" customFormat="1" ht="16.2" customHeight="1" x14ac:dyDescent="0.3">
      <c r="A29" s="790"/>
      <c r="B29" s="791" t="s">
        <v>977</v>
      </c>
    </row>
    <row r="30" spans="1:4" s="38" customFormat="1" ht="16.2" customHeight="1" x14ac:dyDescent="0.3">
      <c r="A30" s="790"/>
      <c r="B30" s="791" t="s">
        <v>978</v>
      </c>
    </row>
    <row r="31" spans="1:4" ht="22.8" x14ac:dyDescent="0.2">
      <c r="B31" s="376" t="s">
        <v>979</v>
      </c>
    </row>
    <row r="32" spans="1:4" ht="34.200000000000003" x14ac:dyDescent="0.2">
      <c r="B32" s="377" t="s">
        <v>980</v>
      </c>
    </row>
    <row r="33" spans="2:2" ht="22.8" x14ac:dyDescent="0.2">
      <c r="B33" s="377" t="s">
        <v>981</v>
      </c>
    </row>
    <row r="35" spans="2:2" ht="22.8" x14ac:dyDescent="0.2">
      <c r="B35" s="376" t="s">
        <v>982</v>
      </c>
    </row>
  </sheetData>
  <pageMargins left="0.70866141732283472" right="0.70866141732283472" top="0.74803149606299213" bottom="0.74803149606299213" header="0.31496062992125984" footer="0.31496062992125984"/>
  <pageSetup paperSize="9" fitToHeight="0" orientation="portrait" r:id="rId1"/>
  <headerFooter>
    <oddHeader>&amp;C&amp;10Hull University Teaching Hospitals NHS Trust - Annual Accounts 2018/19</oddHeader>
    <oddFooter>&amp;C&amp;10Page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opLeftCell="A16" zoomScaleNormal="100" workbookViewId="0">
      <selection activeCell="B30" sqref="B30:F32"/>
    </sheetView>
  </sheetViews>
  <sheetFormatPr defaultColWidth="9.109375" defaultRowHeight="11.4" x14ac:dyDescent="0.2"/>
  <cols>
    <col min="1" max="1" width="1.6640625" style="257" customWidth="1"/>
    <col min="2" max="2" width="85.6640625" style="33" customWidth="1"/>
    <col min="3" max="3" width="12.109375" style="33" customWidth="1"/>
    <col min="4" max="4" width="12.88671875" style="33" customWidth="1"/>
    <col min="5" max="16384" width="9.109375" style="327"/>
  </cols>
  <sheetData>
    <row r="1" spans="1:4" ht="12" x14ac:dyDescent="0.25">
      <c r="A1" s="257">
        <f>'Acc''g policies 2'!A17+1</f>
        <v>8</v>
      </c>
      <c r="B1" s="36"/>
    </row>
    <row r="2" spans="1:4" ht="12" x14ac:dyDescent="0.25">
      <c r="A2" s="257">
        <f>'Acc''g policies 2'!A24+0.1</f>
        <v>8.1999999999999993</v>
      </c>
      <c r="B2" s="36" t="str">
        <f>"Note 1."&amp;A2 &amp; " Measurement"</f>
        <v>Note 1.8.2 Measurement</v>
      </c>
      <c r="C2" s="326"/>
      <c r="D2" s="326"/>
    </row>
    <row r="3" spans="1:4" s="373" customFormat="1" ht="11.4" customHeight="1" x14ac:dyDescent="0.2">
      <c r="A3" s="374"/>
      <c r="B3" s="378" t="s">
        <v>983</v>
      </c>
      <c r="C3" s="375"/>
      <c r="D3" s="375"/>
    </row>
    <row r="4" spans="1:4" ht="49.95" customHeight="1" x14ac:dyDescent="0.2">
      <c r="B4" s="379" t="s">
        <v>1081</v>
      </c>
      <c r="C4" s="326"/>
      <c r="D4" s="326"/>
    </row>
    <row r="5" spans="1:4" s="696" customFormat="1" ht="31.2" customHeight="1" x14ac:dyDescent="0.2">
      <c r="A5" s="697"/>
      <c r="B5" s="701" t="s">
        <v>1082</v>
      </c>
      <c r="C5" s="698"/>
      <c r="D5" s="698"/>
    </row>
    <row r="6" spans="1:4" s="696" customFormat="1" ht="61.2" customHeight="1" x14ac:dyDescent="0.2">
      <c r="A6" s="697"/>
      <c r="B6" s="701" t="s">
        <v>1083</v>
      </c>
      <c r="C6" s="698"/>
      <c r="D6" s="698"/>
    </row>
    <row r="7" spans="1:4" s="696" customFormat="1" ht="12" customHeight="1" x14ac:dyDescent="0.2">
      <c r="A7" s="697"/>
      <c r="B7" s="708" t="s">
        <v>1084</v>
      </c>
      <c r="C7" s="698"/>
      <c r="D7" s="698"/>
    </row>
    <row r="8" spans="1:4" s="696" customFormat="1" ht="17.399999999999999" customHeight="1" x14ac:dyDescent="0.2">
      <c r="A8" s="697"/>
      <c r="B8" s="708" t="s">
        <v>1085</v>
      </c>
      <c r="C8" s="698"/>
      <c r="D8" s="698"/>
    </row>
    <row r="9" spans="1:4" s="696" customFormat="1" ht="54.6" customHeight="1" x14ac:dyDescent="0.2">
      <c r="A9" s="697"/>
      <c r="B9" s="701" t="s">
        <v>1086</v>
      </c>
      <c r="C9" s="698"/>
      <c r="D9" s="698"/>
    </row>
    <row r="10" spans="1:4" s="704" customFormat="1" ht="13.95" customHeight="1" x14ac:dyDescent="0.2">
      <c r="A10" s="705"/>
      <c r="B10" s="709" t="s">
        <v>1087</v>
      </c>
      <c r="C10" s="706"/>
      <c r="D10" s="706"/>
    </row>
    <row r="11" spans="1:4" s="704" customFormat="1" ht="13.95" customHeight="1" x14ac:dyDescent="0.2">
      <c r="A11" s="705"/>
      <c r="B11" s="710" t="s">
        <v>1088</v>
      </c>
      <c r="C11" s="706"/>
      <c r="D11" s="706"/>
    </row>
    <row r="12" spans="1:4" s="704" customFormat="1" ht="14.4" customHeight="1" x14ac:dyDescent="0.2">
      <c r="A12" s="705"/>
      <c r="B12" s="707"/>
      <c r="C12" s="706"/>
      <c r="D12" s="706"/>
    </row>
    <row r="13" spans="1:4" s="696" customFormat="1" ht="46.2" customHeight="1" x14ac:dyDescent="0.2">
      <c r="A13" s="697"/>
      <c r="B13" s="701" t="s">
        <v>1089</v>
      </c>
      <c r="C13" s="698"/>
      <c r="D13" s="698"/>
    </row>
    <row r="14" spans="1:4" x14ac:dyDescent="0.2">
      <c r="B14" s="383"/>
      <c r="C14" s="326"/>
      <c r="D14" s="326"/>
    </row>
    <row r="15" spans="1:4" s="380" customFormat="1" x14ac:dyDescent="0.2">
      <c r="A15" s="381"/>
      <c r="B15" s="383"/>
      <c r="C15" s="382"/>
      <c r="D15" s="382"/>
    </row>
    <row r="16" spans="1:4" ht="12" x14ac:dyDescent="0.25">
      <c r="B16" s="387" t="s">
        <v>984</v>
      </c>
      <c r="C16" s="326"/>
      <c r="D16" s="326"/>
    </row>
    <row r="17" spans="1:4" ht="72.599999999999994" customHeight="1" x14ac:dyDescent="0.2">
      <c r="B17" s="326" t="s">
        <v>1121</v>
      </c>
      <c r="C17" s="326"/>
      <c r="D17" s="326"/>
    </row>
    <row r="18" spans="1:4" s="384" customFormat="1" ht="15.6" customHeight="1" x14ac:dyDescent="0.25">
      <c r="A18" s="385"/>
      <c r="B18" s="391"/>
      <c r="C18" s="386"/>
      <c r="D18" s="386"/>
    </row>
    <row r="19" spans="1:4" ht="15.6" customHeight="1" x14ac:dyDescent="0.25">
      <c r="B19" s="717" t="s">
        <v>985</v>
      </c>
      <c r="C19" s="326"/>
      <c r="D19" s="326"/>
    </row>
    <row r="20" spans="1:4" s="388" customFormat="1" ht="79.8" x14ac:dyDescent="0.2">
      <c r="A20" s="389"/>
      <c r="B20" s="783" t="s">
        <v>1122</v>
      </c>
      <c r="C20" s="390"/>
      <c r="D20" s="390"/>
    </row>
    <row r="21" spans="1:4" s="388" customFormat="1" x14ac:dyDescent="0.2">
      <c r="A21" s="389"/>
      <c r="B21" s="718" t="s">
        <v>986</v>
      </c>
      <c r="C21" s="390"/>
      <c r="D21" s="390"/>
    </row>
    <row r="22" spans="1:4" s="388" customFormat="1" x14ac:dyDescent="0.2">
      <c r="A22" s="389"/>
      <c r="B22" s="718" t="s">
        <v>987</v>
      </c>
      <c r="C22" s="390"/>
      <c r="D22" s="390"/>
    </row>
    <row r="23" spans="1:4" s="388" customFormat="1" x14ac:dyDescent="0.2">
      <c r="A23" s="389"/>
      <c r="B23" s="718" t="s">
        <v>1186</v>
      </c>
      <c r="C23" s="390"/>
      <c r="D23" s="390"/>
    </row>
    <row r="24" spans="1:4" s="388" customFormat="1" x14ac:dyDescent="0.2">
      <c r="A24" s="389"/>
      <c r="B24" s="718" t="s">
        <v>988</v>
      </c>
      <c r="C24" s="390"/>
      <c r="D24" s="390"/>
    </row>
    <row r="25" spans="1:4" s="392" customFormat="1" x14ac:dyDescent="0.2">
      <c r="A25" s="393"/>
      <c r="B25" s="718" t="s">
        <v>989</v>
      </c>
      <c r="C25" s="394"/>
      <c r="D25" s="394"/>
    </row>
    <row r="26" spans="1:4" s="392" customFormat="1" x14ac:dyDescent="0.2">
      <c r="A26" s="393"/>
      <c r="B26" s="719"/>
      <c r="C26" s="394"/>
      <c r="D26" s="394"/>
    </row>
    <row r="27" spans="1:4" s="392" customFormat="1" x14ac:dyDescent="0.2">
      <c r="A27" s="393"/>
      <c r="B27" s="719" t="s">
        <v>990</v>
      </c>
      <c r="C27" s="394"/>
      <c r="D27" s="394"/>
    </row>
    <row r="28" spans="1:4" s="767" customFormat="1" x14ac:dyDescent="0.2">
      <c r="A28" s="722"/>
      <c r="B28" s="719"/>
      <c r="C28" s="766"/>
      <c r="D28" s="766"/>
    </row>
    <row r="29" spans="1:4" s="392" customFormat="1" ht="36" customHeight="1" x14ac:dyDescent="0.2">
      <c r="A29" s="393"/>
      <c r="B29" s="716" t="s">
        <v>991</v>
      </c>
      <c r="C29" s="394"/>
      <c r="D29" s="394"/>
    </row>
    <row r="30" spans="1:4" s="392" customFormat="1" ht="11.4" customHeight="1" x14ac:dyDescent="0.2">
      <c r="A30" s="393"/>
      <c r="B30" s="395"/>
      <c r="C30" s="394"/>
      <c r="D30" s="394"/>
    </row>
    <row r="31" spans="1:4" ht="11.4" customHeight="1" x14ac:dyDescent="0.25">
      <c r="B31" s="407"/>
      <c r="C31" s="326"/>
      <c r="D31" s="326"/>
    </row>
    <row r="32" spans="1:4" s="396" customFormat="1" ht="48.6" customHeight="1" x14ac:dyDescent="0.2">
      <c r="A32" s="399"/>
      <c r="B32" s="406"/>
      <c r="C32" s="404"/>
      <c r="D32" s="404"/>
    </row>
    <row r="33" spans="1:5" ht="81" customHeight="1" x14ac:dyDescent="0.2">
      <c r="B33" s="326"/>
      <c r="C33" s="326"/>
      <c r="D33" s="326"/>
    </row>
    <row r="34" spans="1:5" ht="85.2" customHeight="1" x14ac:dyDescent="0.2">
      <c r="B34" s="326"/>
      <c r="C34" s="326"/>
      <c r="D34" s="326"/>
    </row>
    <row r="35" spans="1:5" ht="13.95" customHeight="1" x14ac:dyDescent="0.25">
      <c r="A35" s="257">
        <f>A2+0.1</f>
        <v>8.2999999999999989</v>
      </c>
      <c r="B35" s="36"/>
      <c r="C35" s="326"/>
      <c r="D35" s="326"/>
    </row>
    <row r="36" spans="1:5" ht="15" customHeight="1" x14ac:dyDescent="0.2">
      <c r="B36" s="326"/>
      <c r="C36" s="326"/>
      <c r="D36" s="326"/>
    </row>
    <row r="37" spans="1:5" ht="208.95" customHeight="1" x14ac:dyDescent="0.2">
      <c r="B37" s="330"/>
      <c r="C37" s="326"/>
      <c r="D37" s="326"/>
    </row>
    <row r="38" spans="1:5" x14ac:dyDescent="0.2">
      <c r="B38" s="336"/>
      <c r="C38" s="326"/>
      <c r="D38" s="326"/>
    </row>
    <row r="39" spans="1:5" ht="12" x14ac:dyDescent="0.25">
      <c r="A39" s="257">
        <f>A1+1</f>
        <v>9</v>
      </c>
      <c r="B39" s="107"/>
      <c r="C39" s="326"/>
      <c r="D39" s="326"/>
    </row>
    <row r="40" spans="1:5" ht="94.65" customHeight="1" x14ac:dyDescent="0.2">
      <c r="B40" s="326"/>
      <c r="C40" s="326"/>
      <c r="D40" s="326"/>
      <c r="E40" s="56"/>
    </row>
  </sheetData>
  <pageMargins left="0.70866141732283472" right="0.70866141732283472" top="0.74803149606299213" bottom="0.74803149606299213" header="0.31496062992125984" footer="0.31496062992125984"/>
  <pageSetup paperSize="9" fitToHeight="0" orientation="portrait" r:id="rId1"/>
  <headerFooter>
    <oddHeader>&amp;C&amp;10Hull University Teaching Hospitals NHS Trust - Annual Accounts 2018/19</oddHeader>
    <oddFooter>&amp;C&amp;10Page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16" workbookViewId="0">
      <selection activeCell="B30" sqref="B30:F32"/>
    </sheetView>
  </sheetViews>
  <sheetFormatPr defaultColWidth="9.109375" defaultRowHeight="11.4" x14ac:dyDescent="0.2"/>
  <cols>
    <col min="1" max="1" width="1.6640625" style="399" customWidth="1"/>
    <col min="2" max="2" width="85.6640625" style="397" customWidth="1"/>
    <col min="3" max="3" width="12.109375" style="397" customWidth="1"/>
    <col min="4" max="4" width="12.88671875" style="397" customWidth="1"/>
    <col min="5" max="16384" width="9.109375" style="396"/>
  </cols>
  <sheetData>
    <row r="1" spans="1:5" ht="3" customHeight="1" x14ac:dyDescent="0.2">
      <c r="B1" s="405"/>
      <c r="C1" s="404"/>
      <c r="D1" s="404"/>
    </row>
    <row r="2" spans="1:5" ht="12" x14ac:dyDescent="0.25">
      <c r="B2" s="407" t="s">
        <v>992</v>
      </c>
      <c r="C2" s="404"/>
      <c r="D2" s="404"/>
    </row>
    <row r="3" spans="1:5" ht="45.6" x14ac:dyDescent="0.2">
      <c r="B3" s="406" t="s">
        <v>1090</v>
      </c>
      <c r="C3" s="404"/>
      <c r="D3" s="404"/>
    </row>
    <row r="4" spans="1:5" ht="79.8" x14ac:dyDescent="0.2">
      <c r="B4" s="404" t="s">
        <v>993</v>
      </c>
      <c r="C4" s="404"/>
      <c r="D4" s="404"/>
    </row>
    <row r="5" spans="1:5" ht="79.8" x14ac:dyDescent="0.2">
      <c r="B5" s="404" t="s">
        <v>994</v>
      </c>
      <c r="C5" s="404"/>
      <c r="D5" s="404"/>
    </row>
    <row r="6" spans="1:5" s="711" customFormat="1" x14ac:dyDescent="0.2">
      <c r="A6" s="713"/>
      <c r="B6" s="715"/>
      <c r="C6" s="715"/>
      <c r="D6" s="715"/>
    </row>
    <row r="7" spans="1:5" ht="12" x14ac:dyDescent="0.25">
      <c r="A7" s="399">
        <f>'Acc''g policies 3'!A2+0.1</f>
        <v>8.2999999999999989</v>
      </c>
      <c r="B7" s="398" t="str">
        <f>"Note 1."&amp;A7 &amp; " De-recognition"</f>
        <v>Note 1.8.3 De-recognition</v>
      </c>
      <c r="C7" s="404"/>
      <c r="D7" s="404"/>
    </row>
    <row r="8" spans="1:5" ht="228" x14ac:dyDescent="0.2">
      <c r="B8" s="404" t="s">
        <v>1091</v>
      </c>
      <c r="C8" s="404"/>
      <c r="D8" s="404"/>
    </row>
    <row r="9" spans="1:5" x14ac:dyDescent="0.2">
      <c r="B9" s="402"/>
      <c r="C9" s="404"/>
      <c r="D9" s="404"/>
    </row>
    <row r="10" spans="1:5" x14ac:dyDescent="0.2">
      <c r="B10" s="336"/>
      <c r="C10" s="404"/>
      <c r="D10" s="404"/>
    </row>
    <row r="11" spans="1:5" ht="12" x14ac:dyDescent="0.25">
      <c r="A11" s="399">
        <f>+'Acc''g policies 2'!A22+1</f>
        <v>9</v>
      </c>
      <c r="B11" s="714" t="str">
        <f>"Note 1."&amp;A11 &amp; " 
Donated and grant funded assets "</f>
        <v xml:space="preserve">Note 1.9 
Donated and grant funded assets </v>
      </c>
      <c r="C11" s="404"/>
      <c r="D11" s="404"/>
    </row>
    <row r="12" spans="1:5" x14ac:dyDescent="0.2">
      <c r="B12" s="404"/>
      <c r="C12" s="404"/>
      <c r="D12" s="404"/>
      <c r="E12" s="400"/>
    </row>
    <row r="13" spans="1:5" ht="105.6" customHeight="1" x14ac:dyDescent="0.2">
      <c r="B13" s="397" t="s">
        <v>1105</v>
      </c>
    </row>
    <row r="15" spans="1:5" ht="14.4" customHeight="1" x14ac:dyDescent="0.2"/>
    <row r="16" spans="1:5" ht="14.4" customHeight="1" x14ac:dyDescent="0.25">
      <c r="A16" s="399">
        <f>A11+1</f>
        <v>10</v>
      </c>
      <c r="B16" s="714" t="str">
        <f>"Note 1."&amp;A16 &amp; " 
Intangible assets "</f>
        <v xml:space="preserve">Note 1.10 
Intangible assets </v>
      </c>
    </row>
    <row r="17" spans="2:2" ht="47.4" customHeight="1" x14ac:dyDescent="0.2">
      <c r="B17" s="397" t="s">
        <v>1228</v>
      </c>
    </row>
    <row r="18" spans="2:2" ht="14.4" customHeight="1" x14ac:dyDescent="0.2"/>
    <row r="19" spans="2:2" ht="14.4" customHeight="1" x14ac:dyDescent="0.2"/>
    <row r="20" spans="2:2" ht="14.4" customHeight="1" x14ac:dyDescent="0.2"/>
    <row r="21" spans="2:2" ht="14.4" customHeight="1" x14ac:dyDescent="0.2"/>
    <row r="22" spans="2:2" ht="14.4" customHeight="1" x14ac:dyDescent="0.2"/>
    <row r="23" spans="2:2" ht="14.4" customHeight="1" x14ac:dyDescent="0.2"/>
    <row r="24" spans="2:2" ht="14.4" customHeight="1" x14ac:dyDescent="0.2"/>
    <row r="25" spans="2:2" ht="14.4" customHeight="1" x14ac:dyDescent="0.2"/>
    <row r="26" spans="2:2" ht="14.4" customHeight="1" x14ac:dyDescent="0.2"/>
  </sheetData>
  <pageMargins left="0.70866141732283472" right="0.70866141732283472" top="0.74803149606299213" bottom="0.74803149606299213" header="0.31496062992125984" footer="0.31496062992125984"/>
  <pageSetup paperSize="9" orientation="portrait" r:id="rId1"/>
  <headerFooter>
    <oddHeader>&amp;C&amp;10Hull University Teaching Hospitals NHS Trust - Annual Accounts 2018/19</oddHeader>
    <oddFooter>&amp;C&amp;10Page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activeCell="B30" sqref="B30:F32"/>
    </sheetView>
  </sheetViews>
  <sheetFormatPr defaultColWidth="9.109375" defaultRowHeight="11.4" x14ac:dyDescent="0.2"/>
  <cols>
    <col min="1" max="1" width="1.6640625" style="399" customWidth="1"/>
    <col min="2" max="2" width="85.6640625" style="397" customWidth="1"/>
    <col min="3" max="3" width="12.109375" style="397" customWidth="1"/>
    <col min="4" max="4" width="12.88671875" style="397" customWidth="1"/>
    <col min="5" max="16384" width="9.109375" style="396"/>
  </cols>
  <sheetData>
    <row r="1" spans="1:5" s="711" customFormat="1" ht="6" customHeight="1" x14ac:dyDescent="0.25">
      <c r="A1" s="713">
        <f>'Acc''g policies 3'!A1+1</f>
        <v>9</v>
      </c>
      <c r="B1" s="714"/>
      <c r="C1" s="712"/>
      <c r="D1" s="712"/>
    </row>
    <row r="2" spans="1:5" ht="4.95" customHeight="1" x14ac:dyDescent="0.25">
      <c r="A2" s="399">
        <f>A1+1</f>
        <v>10</v>
      </c>
      <c r="B2" s="401"/>
      <c r="C2" s="404"/>
      <c r="D2" s="404"/>
    </row>
    <row r="3" spans="1:5" ht="12" x14ac:dyDescent="0.25">
      <c r="A3" s="399">
        <f>A2+1</f>
        <v>11</v>
      </c>
      <c r="B3" s="401" t="str">
        <f>"Note 1."&amp;A3 &amp; " 
Donated assets "</f>
        <v xml:space="preserve">Note 1.11 
Donated assets </v>
      </c>
      <c r="C3" s="404"/>
      <c r="D3" s="404"/>
    </row>
    <row r="4" spans="1:5" s="767" customFormat="1" ht="12" x14ac:dyDescent="0.25">
      <c r="A4" s="722"/>
      <c r="B4" s="714"/>
      <c r="C4" s="766"/>
      <c r="D4" s="766"/>
    </row>
    <row r="5" spans="1:5" ht="60.6" customHeight="1" x14ac:dyDescent="0.2">
      <c r="B5" s="406" t="s">
        <v>1092</v>
      </c>
      <c r="C5" s="404"/>
      <c r="D5" s="404"/>
    </row>
    <row r="6" spans="1:5" x14ac:dyDescent="0.2">
      <c r="B6" s="404"/>
      <c r="C6" s="404"/>
      <c r="D6" s="404"/>
    </row>
    <row r="7" spans="1:5" ht="12" x14ac:dyDescent="0.25">
      <c r="A7" s="399">
        <f>A3+1</f>
        <v>12</v>
      </c>
      <c r="B7" s="401" t="str">
        <f>"Note 1."&amp;A7 &amp; " 
Government granted assets "</f>
        <v xml:space="preserve">Note 1.12 
Government granted assets </v>
      </c>
      <c r="C7" s="404"/>
      <c r="D7" s="404"/>
    </row>
    <row r="8" spans="1:5" s="767" customFormat="1" ht="12" x14ac:dyDescent="0.25">
      <c r="A8" s="722"/>
      <c r="B8" s="714"/>
      <c r="C8" s="766"/>
      <c r="D8" s="766"/>
    </row>
    <row r="9" spans="1:5" ht="23.4" customHeight="1" x14ac:dyDescent="0.2">
      <c r="A9" s="399">
        <f>'Acc''g policies 3'!A2+0.1</f>
        <v>8.2999999999999989</v>
      </c>
      <c r="B9" s="403" t="s">
        <v>1093</v>
      </c>
      <c r="C9" s="404"/>
      <c r="D9" s="404"/>
    </row>
    <row r="10" spans="1:5" x14ac:dyDescent="0.2">
      <c r="B10" s="404"/>
      <c r="C10" s="404"/>
      <c r="D10" s="404"/>
    </row>
    <row r="11" spans="1:5" ht="12" x14ac:dyDescent="0.25">
      <c r="A11" s="399">
        <f>A7+1</f>
        <v>13</v>
      </c>
      <c r="B11" s="401" t="str">
        <f>"Note 1."&amp;A11 &amp; " 
Non-Current assets held for sale "</f>
        <v xml:space="preserve">Note 1.13 
Non-Current assets held for sale </v>
      </c>
      <c r="C11" s="404"/>
      <c r="D11" s="404"/>
    </row>
    <row r="12" spans="1:5" s="767" customFormat="1" ht="12" x14ac:dyDescent="0.25">
      <c r="A12" s="722"/>
      <c r="B12" s="714"/>
      <c r="C12" s="766"/>
      <c r="D12" s="766"/>
    </row>
    <row r="13" spans="1:5" ht="126.6" customHeight="1" x14ac:dyDescent="0.2">
      <c r="B13" s="415" t="s">
        <v>995</v>
      </c>
      <c r="C13" s="404"/>
      <c r="D13" s="404"/>
    </row>
    <row r="14" spans="1:5" ht="12" x14ac:dyDescent="0.25">
      <c r="A14" s="399">
        <f>'Acc''g policies 3'!A1+1</f>
        <v>9</v>
      </c>
      <c r="B14" s="401"/>
      <c r="C14" s="404"/>
      <c r="D14" s="404"/>
    </row>
    <row r="15" spans="1:5" ht="12" x14ac:dyDescent="0.25">
      <c r="A15" s="399">
        <f>A11+1</f>
        <v>14</v>
      </c>
      <c r="B15" s="412" t="str">
        <f>"Note 1."&amp;A15 &amp; " 
Inventories "</f>
        <v xml:space="preserve">Note 1.14 
Inventories </v>
      </c>
      <c r="C15" s="404"/>
      <c r="D15" s="404"/>
      <c r="E15" s="400"/>
    </row>
    <row r="16" spans="1:5" s="767" customFormat="1" ht="12" x14ac:dyDescent="0.25">
      <c r="A16" s="722"/>
      <c r="B16" s="714"/>
      <c r="C16" s="766"/>
      <c r="D16" s="766"/>
      <c r="E16" s="400"/>
    </row>
    <row r="17" spans="1:4" ht="45.6" x14ac:dyDescent="0.2">
      <c r="B17" s="397" t="s">
        <v>1094</v>
      </c>
    </row>
    <row r="19" spans="1:4" ht="14.4" customHeight="1" x14ac:dyDescent="0.25">
      <c r="A19" s="399">
        <f>A15+1</f>
        <v>15</v>
      </c>
      <c r="B19" s="412" t="str">
        <f>"Note 1."&amp;A19 &amp; " 
Investment properties "</f>
        <v xml:space="preserve">Note 1.15 
Investment properties </v>
      </c>
    </row>
    <row r="20" spans="1:4" s="767" customFormat="1" ht="14.4" customHeight="1" x14ac:dyDescent="0.25">
      <c r="A20" s="722"/>
      <c r="B20" s="714"/>
      <c r="C20" s="721"/>
      <c r="D20" s="721"/>
    </row>
    <row r="21" spans="1:4" ht="72.599999999999994" customHeight="1" x14ac:dyDescent="0.2">
      <c r="B21" s="397" t="s">
        <v>1120</v>
      </c>
    </row>
    <row r="22" spans="1:4" ht="14.4" customHeight="1" x14ac:dyDescent="0.2"/>
    <row r="23" spans="1:4" ht="14.4" customHeight="1" x14ac:dyDescent="0.25">
      <c r="A23" s="399">
        <f>A19+1</f>
        <v>16</v>
      </c>
      <c r="B23" s="412" t="str">
        <f>"Note 1."&amp;A23 &amp; " 
Cash and cash equivalents "</f>
        <v xml:space="preserve">Note 1.16 
Cash and cash equivalents </v>
      </c>
    </row>
    <row r="24" spans="1:4" s="767" customFormat="1" ht="14.4" customHeight="1" x14ac:dyDescent="0.25">
      <c r="A24" s="722"/>
      <c r="B24" s="714"/>
      <c r="C24" s="721"/>
      <c r="D24" s="721"/>
    </row>
    <row r="25" spans="1:4" ht="60" customHeight="1" x14ac:dyDescent="0.2">
      <c r="B25" s="397" t="s">
        <v>996</v>
      </c>
    </row>
    <row r="26" spans="1:4" ht="12" customHeight="1" x14ac:dyDescent="0.2"/>
    <row r="27" spans="1:4" ht="14.4" customHeight="1" x14ac:dyDescent="0.25">
      <c r="A27" s="399">
        <f>A23+1</f>
        <v>17</v>
      </c>
      <c r="B27" s="714" t="str">
        <f>"Note 1."&amp;A27 &amp; " 
Carbon Reduction Commitmentscheme (CRC) "</f>
        <v xml:space="preserve">Note 1.17 
Carbon Reduction Commitmentscheme (CRC) </v>
      </c>
    </row>
    <row r="28" spans="1:4" s="767" customFormat="1" ht="10.95" customHeight="1" x14ac:dyDescent="0.25">
      <c r="A28" s="722"/>
      <c r="B28" s="714"/>
      <c r="C28" s="721"/>
      <c r="D28" s="721"/>
    </row>
    <row r="29" spans="1:4" ht="58.2" customHeight="1" x14ac:dyDescent="0.2">
      <c r="B29" s="397" t="s">
        <v>997</v>
      </c>
    </row>
    <row r="30" spans="1:4" ht="14.4" customHeight="1" x14ac:dyDescent="0.2"/>
    <row r="31" spans="1:4" ht="14.4" customHeight="1" x14ac:dyDescent="0.2"/>
    <row r="32" spans="1:4" ht="14.4" customHeight="1" x14ac:dyDescent="0.2"/>
    <row r="33" ht="14.4" customHeight="1" x14ac:dyDescent="0.2"/>
  </sheetData>
  <pageMargins left="0.70866141732283472" right="0.70866141732283472" top="0.74803149606299213" bottom="0.74803149606299213" header="0.31496062992125984" footer="0.31496062992125984"/>
  <pageSetup paperSize="9" orientation="portrait" r:id="rId1"/>
  <headerFooter>
    <oddHeader>&amp;C&amp;10Hull University Teaching Hospitals NHS Trust - Annual Accounts 2018/19</oddHeader>
    <oddFooter>&amp;C&amp;10Page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workbookViewId="0">
      <selection activeCell="B30" sqref="B30:F32"/>
    </sheetView>
  </sheetViews>
  <sheetFormatPr defaultColWidth="9.109375" defaultRowHeight="11.4" x14ac:dyDescent="0.2"/>
  <cols>
    <col min="1" max="1" width="1.6640625" style="257" customWidth="1"/>
    <col min="2" max="2" width="85.88671875" style="33" customWidth="1"/>
    <col min="3" max="3" width="12.109375" style="33" customWidth="1"/>
    <col min="4" max="4" width="12.88671875" style="33" customWidth="1"/>
    <col min="5" max="16384" width="9.109375" style="327"/>
  </cols>
  <sheetData>
    <row r="1" spans="1:4" s="711" customFormat="1" ht="12" x14ac:dyDescent="0.25">
      <c r="A1" s="713">
        <f>'Acc''g policies 4'!A23+1</f>
        <v>17</v>
      </c>
      <c r="B1" s="714"/>
      <c r="C1" s="712"/>
      <c r="D1" s="712"/>
    </row>
    <row r="2" spans="1:4" ht="12" x14ac:dyDescent="0.25">
      <c r="A2" s="257">
        <f>'Acc''g policies 4'!A27+1</f>
        <v>18</v>
      </c>
      <c r="B2" s="36" t="str">
        <f>"Note 1."&amp;A2&amp; " Leases "</f>
        <v xml:space="preserve">Note 1.18 Leases </v>
      </c>
    </row>
    <row r="3" spans="1:4" ht="9.75" customHeight="1" x14ac:dyDescent="0.2"/>
    <row r="4" spans="1:4" ht="23.25" customHeight="1" x14ac:dyDescent="0.2">
      <c r="B4" s="326" t="s">
        <v>662</v>
      </c>
      <c r="C4" s="326"/>
      <c r="D4" s="326"/>
    </row>
    <row r="5" spans="1:4" x14ac:dyDescent="0.2">
      <c r="B5" s="326"/>
      <c r="C5" s="326"/>
      <c r="D5" s="326"/>
    </row>
    <row r="6" spans="1:4" ht="12" x14ac:dyDescent="0.25">
      <c r="A6" s="257">
        <f>A2+0.1</f>
        <v>18.100000000000001</v>
      </c>
      <c r="B6" s="410" t="str">
        <f>"Note 1."&amp;A6&amp; " The trust as lessee"</f>
        <v>Note 1.18.1 The trust as lessee</v>
      </c>
      <c r="C6" s="326"/>
      <c r="D6" s="326"/>
    </row>
    <row r="7" spans="1:4" s="767" customFormat="1" ht="12" x14ac:dyDescent="0.25">
      <c r="A7" s="722"/>
      <c r="B7" s="678"/>
      <c r="C7" s="766"/>
      <c r="D7" s="766"/>
    </row>
    <row r="8" spans="1:4" ht="84.6" customHeight="1" x14ac:dyDescent="0.2">
      <c r="B8" s="413" t="s">
        <v>998</v>
      </c>
      <c r="C8" s="326"/>
      <c r="D8" s="326"/>
    </row>
    <row r="9" spans="1:4" ht="12" x14ac:dyDescent="0.25">
      <c r="B9" s="213"/>
      <c r="C9" s="326"/>
      <c r="D9" s="326"/>
    </row>
    <row r="10" spans="1:4" ht="12" x14ac:dyDescent="0.25">
      <c r="A10" s="257">
        <f>A2+1</f>
        <v>19</v>
      </c>
      <c r="B10" s="222" t="str">
        <f>"Note 1."&amp;A10&amp; " Provisions"</f>
        <v>Note 1.19 Provisions</v>
      </c>
      <c r="C10" s="326"/>
      <c r="D10" s="326"/>
    </row>
    <row r="11" spans="1:4" s="767" customFormat="1" ht="12" x14ac:dyDescent="0.25">
      <c r="A11" s="722"/>
      <c r="B11" s="440"/>
      <c r="C11" s="766"/>
      <c r="D11" s="766"/>
    </row>
    <row r="12" spans="1:4" ht="68.400000000000006" x14ac:dyDescent="0.2">
      <c r="B12" s="223" t="s">
        <v>1095</v>
      </c>
      <c r="C12" s="326"/>
      <c r="D12" s="326"/>
    </row>
    <row r="13" spans="1:4" s="408" customFormat="1" ht="34.200000000000003" x14ac:dyDescent="0.2">
      <c r="A13" s="411"/>
      <c r="B13" s="223" t="s">
        <v>999</v>
      </c>
      <c r="C13" s="414"/>
      <c r="D13" s="414"/>
    </row>
    <row r="14" spans="1:4" s="408" customFormat="1" ht="34.200000000000003" x14ac:dyDescent="0.2">
      <c r="A14" s="411"/>
      <c r="B14" s="223" t="s">
        <v>1000</v>
      </c>
      <c r="C14" s="414"/>
      <c r="D14" s="414"/>
    </row>
    <row r="15" spans="1:4" ht="12" x14ac:dyDescent="0.25">
      <c r="B15" s="213"/>
      <c r="C15" s="326"/>
      <c r="D15" s="326"/>
    </row>
    <row r="16" spans="1:4" ht="12" x14ac:dyDescent="0.25">
      <c r="A16" s="257">
        <f>A10+1</f>
        <v>20</v>
      </c>
      <c r="B16" s="410" t="str">
        <f>"Note 1."&amp;A16&amp; " Clinical negligence costs"</f>
        <v>Note 1.20 Clinical negligence costs</v>
      </c>
      <c r="C16" s="326"/>
      <c r="D16" s="326"/>
    </row>
    <row r="17" spans="1:4" s="767" customFormat="1" ht="12" x14ac:dyDescent="0.25">
      <c r="A17" s="722"/>
      <c r="B17" s="678"/>
      <c r="C17" s="766"/>
      <c r="D17" s="766"/>
    </row>
    <row r="18" spans="1:4" ht="45.6" x14ac:dyDescent="0.2">
      <c r="B18" s="879" t="s">
        <v>1210</v>
      </c>
      <c r="C18" s="326"/>
      <c r="D18" s="326"/>
    </row>
    <row r="19" spans="1:4" x14ac:dyDescent="0.2">
      <c r="D19" s="326"/>
    </row>
    <row r="20" spans="1:4" ht="12" x14ac:dyDescent="0.25">
      <c r="A20" s="257">
        <f>A16+1</f>
        <v>21</v>
      </c>
      <c r="B20" s="36" t="str">
        <f>"Note 1."&amp; A20&amp; " Non-clinical risk pooling"</f>
        <v>Note 1.21 Non-clinical risk pooling</v>
      </c>
    </row>
    <row r="21" spans="1:4" s="767" customFormat="1" ht="12" x14ac:dyDescent="0.25">
      <c r="A21" s="722"/>
      <c r="B21" s="678"/>
      <c r="C21" s="721"/>
      <c r="D21" s="721"/>
    </row>
    <row r="22" spans="1:4" s="408" customFormat="1" ht="45.6" x14ac:dyDescent="0.2">
      <c r="A22" s="411"/>
      <c r="B22" s="413" t="s">
        <v>1211</v>
      </c>
      <c r="C22" s="409"/>
      <c r="D22" s="409"/>
    </row>
    <row r="23" spans="1:4" ht="12" x14ac:dyDescent="0.25">
      <c r="B23" s="36"/>
    </row>
    <row r="24" spans="1:4" ht="12" x14ac:dyDescent="0.25">
      <c r="A24" s="257">
        <f>A20+1</f>
        <v>22</v>
      </c>
      <c r="B24" s="36" t="str">
        <f>"Note 1."&amp; A24&amp; " PFI transactions"</f>
        <v>Note 1.22 PFI transactions</v>
      </c>
    </row>
    <row r="25" spans="1:4" s="767" customFormat="1" ht="12" x14ac:dyDescent="0.25">
      <c r="A25" s="722"/>
      <c r="B25" s="678"/>
      <c r="C25" s="721"/>
      <c r="D25" s="721"/>
    </row>
    <row r="26" spans="1:4" ht="69.599999999999994" customHeight="1" x14ac:dyDescent="0.2">
      <c r="B26" s="880" t="s">
        <v>1187</v>
      </c>
      <c r="C26" s="326"/>
      <c r="D26" s="326"/>
    </row>
    <row r="27" spans="1:4" x14ac:dyDescent="0.2">
      <c r="B27" s="327"/>
      <c r="C27" s="326"/>
      <c r="D27" s="326"/>
    </row>
    <row r="28" spans="1:4" x14ac:dyDescent="0.2">
      <c r="B28" s="724" t="s">
        <v>1001</v>
      </c>
      <c r="C28" s="326"/>
      <c r="D28" s="326"/>
    </row>
    <row r="29" spans="1:4" x14ac:dyDescent="0.2">
      <c r="B29" s="727" t="s">
        <v>1096</v>
      </c>
      <c r="C29" s="326"/>
      <c r="D29" s="326"/>
    </row>
    <row r="30" spans="1:4" s="711" customFormat="1" x14ac:dyDescent="0.2">
      <c r="A30" s="713"/>
      <c r="B30" s="724" t="s">
        <v>1097</v>
      </c>
      <c r="C30" s="715"/>
      <c r="D30" s="715"/>
    </row>
    <row r="31" spans="1:4" s="720" customFormat="1" x14ac:dyDescent="0.2">
      <c r="A31" s="722"/>
      <c r="B31" s="724"/>
      <c r="C31" s="723"/>
      <c r="D31" s="723"/>
    </row>
    <row r="32" spans="1:4" s="720" customFormat="1" ht="22.8" x14ac:dyDescent="0.2">
      <c r="A32" s="722"/>
      <c r="B32" s="724" t="s">
        <v>1098</v>
      </c>
      <c r="C32" s="723"/>
      <c r="D32" s="723"/>
    </row>
    <row r="33" spans="1:4" s="720" customFormat="1" x14ac:dyDescent="0.2">
      <c r="A33" s="722"/>
      <c r="B33" s="724"/>
      <c r="C33" s="723"/>
      <c r="D33" s="723"/>
    </row>
    <row r="34" spans="1:4" s="417" customFormat="1" x14ac:dyDescent="0.2">
      <c r="A34" s="418"/>
      <c r="B34" s="420"/>
      <c r="C34" s="419"/>
      <c r="D34" s="419"/>
    </row>
    <row r="35" spans="1:4" s="417" customFormat="1" ht="12" x14ac:dyDescent="0.2">
      <c r="A35" s="418"/>
      <c r="B35" s="428"/>
      <c r="C35" s="419"/>
      <c r="D35" s="419"/>
    </row>
    <row r="36" spans="1:4" s="417" customFormat="1" x14ac:dyDescent="0.2">
      <c r="A36" s="418"/>
      <c r="B36" s="426"/>
      <c r="C36" s="419"/>
      <c r="D36" s="419"/>
    </row>
    <row r="37" spans="1:4" s="417" customFormat="1" x14ac:dyDescent="0.2">
      <c r="A37" s="418"/>
      <c r="B37" s="426"/>
      <c r="C37" s="419"/>
      <c r="D37" s="419"/>
    </row>
    <row r="38" spans="1:4" s="417" customFormat="1" ht="12" x14ac:dyDescent="0.2">
      <c r="A38" s="418"/>
      <c r="B38" s="428"/>
      <c r="C38" s="419"/>
      <c r="D38" s="419"/>
    </row>
    <row r="39" spans="1:4" s="417" customFormat="1" x14ac:dyDescent="0.2">
      <c r="A39" s="418"/>
      <c r="B39" s="427"/>
      <c r="C39" s="419"/>
      <c r="D39" s="419"/>
    </row>
    <row r="40" spans="1:4" s="417" customFormat="1" x14ac:dyDescent="0.2">
      <c r="A40" s="418"/>
      <c r="B40" s="426"/>
      <c r="C40" s="419"/>
      <c r="D40" s="419"/>
    </row>
    <row r="41" spans="1:4" s="417" customFormat="1" ht="12" x14ac:dyDescent="0.2">
      <c r="A41" s="418"/>
      <c r="B41" s="428"/>
      <c r="C41" s="419"/>
      <c r="D41" s="419"/>
    </row>
    <row r="42" spans="1:4" s="417" customFormat="1" x14ac:dyDescent="0.2">
      <c r="A42" s="418"/>
      <c r="B42" s="429"/>
      <c r="C42" s="419"/>
      <c r="D42" s="419"/>
    </row>
    <row r="43" spans="1:4" s="417" customFormat="1" x14ac:dyDescent="0.2">
      <c r="A43" s="418"/>
      <c r="B43" s="426"/>
      <c r="C43" s="419"/>
      <c r="D43" s="419"/>
    </row>
    <row r="44" spans="1:4" s="417" customFormat="1" x14ac:dyDescent="0.2">
      <c r="A44" s="418"/>
      <c r="B44" s="424"/>
      <c r="C44" s="419"/>
      <c r="D44" s="419"/>
    </row>
    <row r="45" spans="1:4" s="417" customFormat="1" x14ac:dyDescent="0.2">
      <c r="A45" s="418"/>
      <c r="B45" s="426"/>
      <c r="C45" s="419"/>
      <c r="D45" s="419"/>
    </row>
    <row r="46" spans="1:4" s="417" customFormat="1" ht="12" x14ac:dyDescent="0.2">
      <c r="A46" s="418"/>
      <c r="B46" s="428"/>
      <c r="C46" s="419"/>
      <c r="D46" s="419"/>
    </row>
    <row r="47" spans="1:4" s="417" customFormat="1" x14ac:dyDescent="0.2">
      <c r="A47" s="418"/>
      <c r="B47" s="425"/>
      <c r="C47" s="419"/>
      <c r="D47" s="419"/>
    </row>
    <row r="48" spans="1:4" s="417" customFormat="1" x14ac:dyDescent="0.2">
      <c r="A48" s="418"/>
      <c r="B48" s="420"/>
      <c r="C48" s="419"/>
      <c r="D48" s="419"/>
    </row>
    <row r="49" spans="1:4" s="417" customFormat="1" x14ac:dyDescent="0.2">
      <c r="A49" s="418"/>
      <c r="B49" s="420"/>
      <c r="C49" s="419"/>
      <c r="D49" s="419"/>
    </row>
    <row r="50" spans="1:4" ht="12" x14ac:dyDescent="0.25">
      <c r="B50" s="36"/>
    </row>
    <row r="51" spans="1:4" x14ac:dyDescent="0.2">
      <c r="B51" s="327"/>
      <c r="C51" s="326"/>
      <c r="D51" s="326"/>
    </row>
    <row r="52" spans="1:4" x14ac:dyDescent="0.2">
      <c r="B52" s="327"/>
      <c r="C52" s="326"/>
      <c r="D52" s="326"/>
    </row>
    <row r="53" spans="1:4" x14ac:dyDescent="0.2">
      <c r="B53" s="321"/>
      <c r="C53" s="326"/>
      <c r="D53" s="326"/>
    </row>
    <row r="54" spans="1:4" x14ac:dyDescent="0.2">
      <c r="B54" s="327"/>
    </row>
    <row r="55" spans="1:4" x14ac:dyDescent="0.2">
      <c r="B55" s="327"/>
      <c r="C55" s="326"/>
      <c r="D55" s="326"/>
    </row>
    <row r="56" spans="1:4" x14ac:dyDescent="0.2">
      <c r="B56" s="327"/>
      <c r="C56" s="326"/>
      <c r="D56" s="326"/>
    </row>
    <row r="57" spans="1:4" x14ac:dyDescent="0.2">
      <c r="B57" s="327"/>
      <c r="C57" s="326"/>
      <c r="D57" s="326"/>
    </row>
    <row r="58" spans="1:4" x14ac:dyDescent="0.2">
      <c r="B58" s="327"/>
    </row>
    <row r="59" spans="1:4" x14ac:dyDescent="0.2">
      <c r="B59" s="333"/>
      <c r="C59" s="326"/>
      <c r="D59" s="326"/>
    </row>
    <row r="61" spans="1:4" x14ac:dyDescent="0.2">
      <c r="B61" s="326"/>
      <c r="C61" s="326"/>
      <c r="D61" s="326"/>
    </row>
    <row r="63" spans="1:4" x14ac:dyDescent="0.2">
      <c r="B63" s="326"/>
      <c r="C63" s="326"/>
      <c r="D63" s="326"/>
    </row>
    <row r="65" spans="2:4" x14ac:dyDescent="0.2">
      <c r="B65" s="326"/>
      <c r="C65" s="326"/>
      <c r="D65" s="326"/>
    </row>
    <row r="66" spans="2:4" x14ac:dyDescent="0.2">
      <c r="B66" s="334"/>
    </row>
    <row r="67" spans="2:4" x14ac:dyDescent="0.2">
      <c r="B67" s="332"/>
      <c r="C67" s="325"/>
      <c r="D67" s="325"/>
    </row>
    <row r="68" spans="2:4" x14ac:dyDescent="0.2">
      <c r="B68" s="329"/>
    </row>
    <row r="69" spans="2:4" x14ac:dyDescent="0.2">
      <c r="B69" s="326"/>
      <c r="C69" s="326"/>
      <c r="D69" s="326"/>
    </row>
    <row r="71" spans="2:4" x14ac:dyDescent="0.2">
      <c r="B71" s="325"/>
      <c r="C71" s="325"/>
      <c r="D71" s="325"/>
    </row>
    <row r="72" spans="2:4" x14ac:dyDescent="0.2">
      <c r="B72" s="334"/>
    </row>
    <row r="73" spans="2:4" x14ac:dyDescent="0.2">
      <c r="B73" s="332"/>
      <c r="C73" s="326"/>
      <c r="D73" s="326"/>
    </row>
    <row r="74" spans="2:4" x14ac:dyDescent="0.2">
      <c r="B74" s="329"/>
    </row>
    <row r="76" spans="2:4" ht="24.45" customHeight="1" x14ac:dyDescent="0.2"/>
    <row r="78" spans="2:4" x14ac:dyDescent="0.2">
      <c r="B78" s="333"/>
    </row>
    <row r="83" spans="2:2" x14ac:dyDescent="0.2">
      <c r="B83" s="329"/>
    </row>
    <row r="89" spans="2:2" ht="12" x14ac:dyDescent="0.25">
      <c r="B89" s="36"/>
    </row>
  </sheetData>
  <pageMargins left="0.70866141732283472" right="0.70866141732283472" top="0.74803149606299213" bottom="0.74803149606299213" header="0.31496062992125984" footer="0.31496062992125984"/>
  <pageSetup paperSize="9" fitToHeight="0" orientation="portrait" r:id="rId1"/>
  <headerFooter>
    <oddHeader>&amp;C&amp;10Hull University Teaching Hospitals NHS Trust - Annual Accounts 2018/19</oddHeader>
    <oddFooter>&amp;C&amp;10Page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opLeftCell="A31" workbookViewId="0">
      <selection activeCell="B30" sqref="B30:F32"/>
    </sheetView>
  </sheetViews>
  <sheetFormatPr defaultColWidth="9.109375" defaultRowHeight="11.4" x14ac:dyDescent="0.2"/>
  <cols>
    <col min="1" max="1" width="1.6640625" style="257" customWidth="1"/>
    <col min="2" max="2" width="85.88671875" style="33" customWidth="1"/>
    <col min="3" max="3" width="12.109375" style="33" customWidth="1"/>
    <col min="4" max="4" width="12.88671875" style="33" customWidth="1"/>
    <col min="5" max="16384" width="9.109375" style="327"/>
  </cols>
  <sheetData>
    <row r="1" spans="1:4" s="720" customFormat="1" ht="12" x14ac:dyDescent="0.2">
      <c r="A1" s="722"/>
      <c r="B1" s="726" t="s">
        <v>1002</v>
      </c>
      <c r="C1" s="723"/>
      <c r="D1" s="723"/>
    </row>
    <row r="2" spans="1:4" s="720" customFormat="1" ht="22.8" x14ac:dyDescent="0.2">
      <c r="A2" s="722"/>
      <c r="B2" s="724" t="s">
        <v>1099</v>
      </c>
      <c r="C2" s="723"/>
      <c r="D2" s="723"/>
    </row>
    <row r="3" spans="1:4" s="767" customFormat="1" x14ac:dyDescent="0.2">
      <c r="A3" s="722"/>
      <c r="B3" s="724"/>
      <c r="C3" s="766"/>
      <c r="D3" s="766"/>
    </row>
    <row r="4" spans="1:4" s="720" customFormat="1" ht="12" x14ac:dyDescent="0.2">
      <c r="A4" s="722"/>
      <c r="B4" s="726" t="s">
        <v>1003</v>
      </c>
      <c r="C4" s="723"/>
      <c r="D4" s="723"/>
    </row>
    <row r="5" spans="1:4" s="720" customFormat="1" ht="34.200000000000003" x14ac:dyDescent="0.2">
      <c r="A5" s="722"/>
      <c r="B5" s="725" t="s">
        <v>1226</v>
      </c>
      <c r="C5" s="723"/>
      <c r="D5" s="723"/>
    </row>
    <row r="6" spans="1:4" s="720" customFormat="1" ht="2.4" customHeight="1" x14ac:dyDescent="0.2">
      <c r="A6" s="722"/>
      <c r="B6" s="721"/>
      <c r="C6" s="721"/>
      <c r="D6" s="721"/>
    </row>
    <row r="7" spans="1:4" s="767" customFormat="1" ht="7.2" customHeight="1" x14ac:dyDescent="0.2">
      <c r="A7" s="722"/>
      <c r="B7" s="721"/>
      <c r="C7" s="721"/>
      <c r="D7" s="721"/>
    </row>
    <row r="8" spans="1:4" s="421" customFormat="1" ht="12" x14ac:dyDescent="0.2">
      <c r="A8" s="423"/>
      <c r="B8" s="428" t="s">
        <v>1004</v>
      </c>
      <c r="C8" s="422"/>
      <c r="D8" s="422"/>
    </row>
    <row r="9" spans="1:4" s="421" customFormat="1" ht="26.4" customHeight="1" x14ac:dyDescent="0.2">
      <c r="A9" s="423"/>
      <c r="B9" s="429" t="s">
        <v>1100</v>
      </c>
      <c r="C9" s="422"/>
      <c r="D9" s="422"/>
    </row>
    <row r="10" spans="1:4" s="421" customFormat="1" ht="1.95" customHeight="1" x14ac:dyDescent="0.2">
      <c r="A10" s="423"/>
      <c r="B10" s="426"/>
      <c r="C10" s="422"/>
      <c r="D10" s="422"/>
    </row>
    <row r="11" spans="1:4" s="421" customFormat="1" ht="68.400000000000006" x14ac:dyDescent="0.2">
      <c r="A11" s="423"/>
      <c r="B11" s="424" t="s">
        <v>1005</v>
      </c>
      <c r="C11" s="422"/>
      <c r="D11" s="422"/>
    </row>
    <row r="12" spans="1:4" s="421" customFormat="1" ht="12" customHeight="1" x14ac:dyDescent="0.2">
      <c r="A12" s="423"/>
      <c r="B12" s="426"/>
      <c r="C12" s="422"/>
      <c r="D12" s="422"/>
    </row>
    <row r="13" spans="1:4" s="421" customFormat="1" ht="12" x14ac:dyDescent="0.2">
      <c r="A13" s="423"/>
      <c r="B13" s="428" t="s">
        <v>1006</v>
      </c>
      <c r="C13" s="422"/>
      <c r="D13" s="422"/>
    </row>
    <row r="14" spans="1:4" s="421" customFormat="1" ht="79.8" x14ac:dyDescent="0.2">
      <c r="A14" s="423"/>
      <c r="B14" s="425" t="s">
        <v>1101</v>
      </c>
      <c r="C14" s="422"/>
      <c r="D14" s="422"/>
    </row>
    <row r="15" spans="1:4" s="421" customFormat="1" ht="9.6" customHeight="1" x14ac:dyDescent="0.2">
      <c r="A15" s="423"/>
      <c r="B15" s="422"/>
      <c r="C15" s="422"/>
      <c r="D15" s="422"/>
    </row>
    <row r="16" spans="1:4" s="421" customFormat="1" ht="12" x14ac:dyDescent="0.2">
      <c r="A16" s="432"/>
      <c r="B16" s="434" t="s">
        <v>1007</v>
      </c>
      <c r="C16" s="431"/>
      <c r="D16" s="431"/>
    </row>
    <row r="17" spans="1:4" s="421" customFormat="1" ht="22.8" x14ac:dyDescent="0.2">
      <c r="A17" s="432"/>
      <c r="B17" s="433" t="s">
        <v>1008</v>
      </c>
      <c r="C17" s="431"/>
      <c r="D17" s="431"/>
    </row>
    <row r="18" spans="1:4" s="430" customFormat="1" ht="15.6" customHeight="1" x14ac:dyDescent="0.2">
      <c r="A18" s="432"/>
      <c r="B18" s="433"/>
      <c r="C18" s="431"/>
      <c r="D18" s="431"/>
    </row>
    <row r="19" spans="1:4" ht="12" x14ac:dyDescent="0.25">
      <c r="A19" s="257">
        <f>'Acc''g policies 5'!A24+1</f>
        <v>23</v>
      </c>
      <c r="B19" s="36" t="str">
        <f>"Note 1."&amp;A19&amp; " Contingencies"</f>
        <v>Note 1.23 Contingencies</v>
      </c>
    </row>
    <row r="20" spans="1:4" s="767" customFormat="1" ht="12" x14ac:dyDescent="0.25">
      <c r="A20" s="722"/>
      <c r="B20" s="678"/>
      <c r="C20" s="721"/>
      <c r="D20" s="721"/>
    </row>
    <row r="21" spans="1:4" ht="94.95" customHeight="1" x14ac:dyDescent="0.2">
      <c r="B21" s="224" t="s">
        <v>1009</v>
      </c>
    </row>
    <row r="22" spans="1:4" ht="13.95" customHeight="1" x14ac:dyDescent="0.2">
      <c r="B22" s="156"/>
    </row>
    <row r="23" spans="1:4" ht="12" x14ac:dyDescent="0.25">
      <c r="A23" s="257">
        <f>A19+1</f>
        <v>24</v>
      </c>
      <c r="B23" s="36" t="str">
        <f>"Note 1."&amp; A23&amp; " Financial Assets "</f>
        <v xml:space="preserve">Note 1.24 Financial Assets </v>
      </c>
    </row>
    <row r="24" spans="1:4" s="767" customFormat="1" ht="12" x14ac:dyDescent="0.25">
      <c r="A24" s="722"/>
      <c r="B24" s="678"/>
      <c r="C24" s="721"/>
      <c r="D24" s="721"/>
    </row>
    <row r="25" spans="1:4" ht="36" customHeight="1" x14ac:dyDescent="0.2">
      <c r="B25" s="326" t="s">
        <v>1010</v>
      </c>
      <c r="C25" s="326"/>
      <c r="D25" s="326"/>
    </row>
    <row r="26" spans="1:4" s="435" customFormat="1" ht="4.95" customHeight="1" x14ac:dyDescent="0.2">
      <c r="A26" s="437"/>
      <c r="B26" s="439"/>
      <c r="C26" s="439"/>
      <c r="D26" s="439"/>
    </row>
    <row r="27" spans="1:4" ht="45.6" x14ac:dyDescent="0.2">
      <c r="B27" s="326" t="s">
        <v>1102</v>
      </c>
      <c r="C27" s="326"/>
      <c r="D27" s="326"/>
    </row>
    <row r="28" spans="1:4" s="720" customFormat="1" ht="34.200000000000003" x14ac:dyDescent="0.2">
      <c r="A28" s="722"/>
      <c r="B28" s="723" t="s">
        <v>1106</v>
      </c>
      <c r="C28" s="723"/>
      <c r="D28" s="723"/>
    </row>
    <row r="29" spans="1:4" ht="25.2" customHeight="1" x14ac:dyDescent="0.2"/>
    <row r="30" spans="1:4" s="720" customFormat="1" ht="15" customHeight="1" x14ac:dyDescent="0.2">
      <c r="A30" s="722"/>
      <c r="B30" s="721"/>
      <c r="C30" s="721"/>
      <c r="D30" s="721"/>
    </row>
    <row r="31" spans="1:4" ht="12" x14ac:dyDescent="0.25">
      <c r="A31" s="257">
        <f>A23+1</f>
        <v>25</v>
      </c>
      <c r="B31" s="222"/>
    </row>
    <row r="32" spans="1:4" ht="103.95" customHeight="1" x14ac:dyDescent="0.2">
      <c r="B32" s="223"/>
    </row>
    <row r="33" spans="1:4" ht="58.95" customHeight="1" x14ac:dyDescent="0.25">
      <c r="B33" s="222"/>
    </row>
    <row r="34" spans="1:4" ht="17.7" customHeight="1" x14ac:dyDescent="0.25">
      <c r="B34" s="36"/>
    </row>
    <row r="35" spans="1:4" ht="12" x14ac:dyDescent="0.25">
      <c r="A35" s="257">
        <f>A19+1</f>
        <v>24</v>
      </c>
      <c r="B35" s="36"/>
    </row>
    <row r="36" spans="1:4" ht="63.15" customHeight="1" x14ac:dyDescent="0.2">
      <c r="B36" s="326"/>
      <c r="C36" s="326"/>
      <c r="D36" s="326"/>
    </row>
    <row r="37" spans="1:4" x14ac:dyDescent="0.2">
      <c r="B37" s="326"/>
      <c r="C37" s="326"/>
      <c r="D37" s="326"/>
    </row>
    <row r="38" spans="1:4" x14ac:dyDescent="0.2">
      <c r="B38" s="333"/>
      <c r="C38" s="326"/>
      <c r="D38" s="326"/>
    </row>
    <row r="39" spans="1:4" x14ac:dyDescent="0.2">
      <c r="B39" s="324"/>
      <c r="C39" s="326"/>
      <c r="D39" s="326"/>
    </row>
    <row r="40" spans="1:4" x14ac:dyDescent="0.2">
      <c r="B40" s="326"/>
      <c r="C40" s="326"/>
      <c r="D40" s="326"/>
    </row>
    <row r="42" spans="1:4" x14ac:dyDescent="0.2">
      <c r="A42" s="72"/>
      <c r="B42" s="108"/>
      <c r="C42" s="108"/>
      <c r="D42" s="108"/>
    </row>
    <row r="43" spans="1:4" x14ac:dyDescent="0.2">
      <c r="A43" s="72"/>
      <c r="B43" s="108"/>
      <c r="C43" s="108"/>
      <c r="D43" s="108"/>
    </row>
    <row r="44" spans="1:4" x14ac:dyDescent="0.2">
      <c r="A44" s="72"/>
      <c r="B44" s="108"/>
      <c r="C44" s="108"/>
      <c r="D44" s="108"/>
    </row>
    <row r="45" spans="1:4" x14ac:dyDescent="0.2">
      <c r="A45" s="72"/>
      <c r="B45" s="108"/>
      <c r="C45" s="108"/>
      <c r="D45" s="108"/>
    </row>
  </sheetData>
  <pageMargins left="0.70866141732283472" right="0.70866141732283472" top="0.74803149606299213" bottom="0.74803149606299213" header="0.31496062992125984" footer="0.31496062992125984"/>
  <pageSetup paperSize="9" fitToHeight="0" orientation="portrait" r:id="rId1"/>
  <headerFooter>
    <oddHeader>&amp;C&amp;10Hull University Teaching Hospitals NHS Trust - Annual Accounts 2018/19</oddHeader>
    <oddFooter>&amp;C&amp;10Page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workbookViewId="0">
      <selection activeCell="B30" sqref="B30:F32"/>
    </sheetView>
  </sheetViews>
  <sheetFormatPr defaultColWidth="9.109375" defaultRowHeight="11.4" x14ac:dyDescent="0.2"/>
  <cols>
    <col min="1" max="1" width="1.6640625" style="257" customWidth="1"/>
    <col min="2" max="2" width="85.88671875" style="33" customWidth="1"/>
    <col min="3" max="3" width="12.109375" style="33" customWidth="1"/>
    <col min="4" max="4" width="12.88671875" style="33" customWidth="1"/>
    <col min="5" max="16384" width="9.109375" style="327"/>
  </cols>
  <sheetData>
    <row r="1" spans="1:4" s="767" customFormat="1" ht="12" x14ac:dyDescent="0.25">
      <c r="A1" s="722">
        <f>'Acc''g policies 6'!A23+1</f>
        <v>25</v>
      </c>
      <c r="B1" s="440" t="str">
        <f>"Note 1."&amp; A1&amp; " Financial Liabilities"</f>
        <v>Note 1.25 Financial Liabilities</v>
      </c>
      <c r="C1" s="721"/>
      <c r="D1" s="721"/>
    </row>
    <row r="2" spans="1:4" s="767" customFormat="1" ht="7.2" customHeight="1" x14ac:dyDescent="0.25">
      <c r="A2" s="722"/>
      <c r="B2" s="440"/>
      <c r="C2" s="721"/>
      <c r="D2" s="721"/>
    </row>
    <row r="3" spans="1:4" s="767" customFormat="1" ht="102.6" x14ac:dyDescent="0.2">
      <c r="A3" s="722"/>
      <c r="B3" s="721" t="s">
        <v>1011</v>
      </c>
      <c r="C3" s="721"/>
      <c r="D3" s="721"/>
    </row>
    <row r="4" spans="1:4" s="767" customFormat="1" x14ac:dyDescent="0.2">
      <c r="A4" s="722"/>
      <c r="B4" s="721"/>
      <c r="C4" s="721"/>
      <c r="D4" s="721"/>
    </row>
    <row r="5" spans="1:4" ht="12" x14ac:dyDescent="0.25">
      <c r="A5" s="257">
        <f>'Acc''g policies 6'!A31+1</f>
        <v>26</v>
      </c>
      <c r="B5" s="36" t="str">
        <f>"Note 1." &amp;A5&amp;" Public dividend capital"</f>
        <v>Note 1.26 Public dividend capital</v>
      </c>
    </row>
    <row r="6" spans="1:4" s="767" customFormat="1" ht="7.2" customHeight="1" x14ac:dyDescent="0.25">
      <c r="A6" s="722"/>
      <c r="B6" s="678"/>
      <c r="C6" s="721"/>
      <c r="D6" s="721"/>
    </row>
    <row r="7" spans="1:4" ht="83.4" customHeight="1" x14ac:dyDescent="0.2">
      <c r="B7" s="326" t="s">
        <v>1103</v>
      </c>
      <c r="C7" s="326"/>
      <c r="D7" s="326"/>
    </row>
    <row r="8" spans="1:4" ht="15.6" customHeight="1" x14ac:dyDescent="0.2"/>
    <row r="9" spans="1:4" ht="12" x14ac:dyDescent="0.25">
      <c r="A9" s="257">
        <f>A5+1</f>
        <v>27</v>
      </c>
      <c r="B9" s="36" t="str">
        <f>"Note 1." &amp;A9&amp;" Value added tax"</f>
        <v>Note 1.27 Value added tax</v>
      </c>
    </row>
    <row r="10" spans="1:4" s="767" customFormat="1" ht="7.2" customHeight="1" x14ac:dyDescent="0.25">
      <c r="A10" s="722"/>
      <c r="B10" s="678"/>
      <c r="C10" s="721"/>
      <c r="D10" s="721"/>
    </row>
    <row r="11" spans="1:4" ht="49.2" customHeight="1" x14ac:dyDescent="0.2">
      <c r="B11" s="224" t="s">
        <v>1012</v>
      </c>
      <c r="C11" s="326"/>
    </row>
    <row r="12" spans="1:4" ht="17.399999999999999" customHeight="1" x14ac:dyDescent="0.2"/>
    <row r="13" spans="1:4" ht="12" x14ac:dyDescent="0.25">
      <c r="A13" s="257">
        <f>A9+1</f>
        <v>28</v>
      </c>
      <c r="B13" s="36" t="str">
        <f>"Note 1." &amp;A13&amp;" Third Party Assets "</f>
        <v xml:space="preserve">Note 1.28 Third Party Assets </v>
      </c>
    </row>
    <row r="14" spans="1:4" s="767" customFormat="1" ht="7.2" customHeight="1" x14ac:dyDescent="0.25">
      <c r="A14" s="722"/>
      <c r="B14" s="678"/>
      <c r="C14" s="721"/>
      <c r="D14" s="721"/>
    </row>
    <row r="15" spans="1:4" ht="58.2" customHeight="1" x14ac:dyDescent="0.2">
      <c r="B15" s="892" t="s">
        <v>1227</v>
      </c>
    </row>
    <row r="16" spans="1:4" s="435" customFormat="1" ht="14.4" customHeight="1" x14ac:dyDescent="0.2">
      <c r="A16" s="437"/>
      <c r="B16" s="436"/>
      <c r="C16" s="436"/>
      <c r="D16" s="436"/>
    </row>
    <row r="17" spans="1:5" ht="12" x14ac:dyDescent="0.25">
      <c r="A17" s="257">
        <f>A13+1</f>
        <v>29</v>
      </c>
      <c r="B17" s="440" t="str">
        <f>"Note 1."&amp;A17&amp;" Losses and Special Payments"</f>
        <v>Note 1.29 Losses and Special Payments</v>
      </c>
      <c r="C17" s="329"/>
      <c r="D17" s="329"/>
    </row>
    <row r="18" spans="1:5" s="767" customFormat="1" ht="7.2" customHeight="1" x14ac:dyDescent="0.25">
      <c r="A18" s="722"/>
      <c r="B18" s="440"/>
      <c r="C18" s="682"/>
      <c r="D18" s="682"/>
    </row>
    <row r="19" spans="1:5" s="435" customFormat="1" ht="79.8" x14ac:dyDescent="0.2">
      <c r="A19" s="437"/>
      <c r="B19" s="441" t="s">
        <v>1013</v>
      </c>
      <c r="C19" s="438"/>
      <c r="D19" s="438"/>
    </row>
    <row r="20" spans="1:5" s="435" customFormat="1" ht="14.4" customHeight="1" x14ac:dyDescent="0.25">
      <c r="A20" s="437"/>
      <c r="B20" s="337"/>
      <c r="C20" s="438"/>
      <c r="D20" s="438"/>
    </row>
    <row r="21" spans="1:5" ht="12" x14ac:dyDescent="0.25">
      <c r="A21" s="257">
        <f>A17+1</f>
        <v>30</v>
      </c>
      <c r="B21" s="440" t="str">
        <f>"Note 1."&amp;A21&amp; " Charitable Funds "</f>
        <v xml:space="preserve">Note 1.30 Charitable Funds </v>
      </c>
      <c r="D21" s="329"/>
    </row>
    <row r="22" spans="1:5" s="767" customFormat="1" ht="7.2" customHeight="1" x14ac:dyDescent="0.25">
      <c r="A22" s="722"/>
      <c r="B22" s="440"/>
      <c r="C22" s="721"/>
      <c r="D22" s="682"/>
    </row>
    <row r="23" spans="1:5" ht="58.8" customHeight="1" x14ac:dyDescent="0.2">
      <c r="B23" s="33" t="s">
        <v>1014</v>
      </c>
      <c r="C23" s="326"/>
    </row>
    <row r="25" spans="1:5" ht="12" x14ac:dyDescent="0.25">
      <c r="A25" s="257">
        <f>A21+1</f>
        <v>31</v>
      </c>
      <c r="B25" s="36"/>
    </row>
    <row r="26" spans="1:5" s="767" customFormat="1" ht="7.2" customHeight="1" x14ac:dyDescent="0.25">
      <c r="A26" s="722"/>
      <c r="B26" s="678"/>
      <c r="C26" s="721"/>
      <c r="D26" s="721"/>
    </row>
    <row r="28" spans="1:5" x14ac:dyDescent="0.2">
      <c r="B28" s="326"/>
      <c r="C28" s="326"/>
      <c r="E28" s="38"/>
    </row>
    <row r="29" spans="1:5" ht="12" x14ac:dyDescent="0.25">
      <c r="A29" s="257">
        <f>A25+1</f>
        <v>32</v>
      </c>
      <c r="B29" s="36"/>
    </row>
    <row r="30" spans="1:5" ht="69" customHeight="1" x14ac:dyDescent="0.2">
      <c r="B30" s="326"/>
      <c r="C30" s="326"/>
      <c r="D30" s="326"/>
    </row>
    <row r="31" spans="1:5" ht="6.6" customHeight="1" x14ac:dyDescent="0.2"/>
    <row r="32" spans="1:5" ht="12" x14ac:dyDescent="0.25">
      <c r="A32" s="257">
        <f>A29+1</f>
        <v>33</v>
      </c>
      <c r="B32" s="440"/>
    </row>
    <row r="33" spans="1:5" s="435" customFormat="1" ht="13.95" customHeight="1" x14ac:dyDescent="0.2">
      <c r="A33" s="437"/>
      <c r="B33" s="441"/>
      <c r="C33" s="439"/>
      <c r="D33" s="439"/>
    </row>
    <row r="34" spans="1:5" s="435" customFormat="1" ht="27.6" customHeight="1" x14ac:dyDescent="0.2">
      <c r="A34" s="437"/>
      <c r="B34" s="759"/>
      <c r="C34" s="416"/>
      <c r="D34" s="439"/>
    </row>
    <row r="35" spans="1:5" s="435" customFormat="1" ht="35.700000000000003" customHeight="1" x14ac:dyDescent="0.2">
      <c r="A35" s="437"/>
      <c r="B35" s="442"/>
      <c r="C35" s="439"/>
      <c r="D35" s="439"/>
    </row>
    <row r="36" spans="1:5" hidden="1" x14ac:dyDescent="0.2"/>
    <row r="37" spans="1:5" ht="12" hidden="1" x14ac:dyDescent="0.25">
      <c r="A37" s="257">
        <f>A32+1</f>
        <v>34</v>
      </c>
      <c r="B37" s="338"/>
    </row>
    <row r="38" spans="1:5" ht="16.95" hidden="1" customHeight="1" x14ac:dyDescent="0.25">
      <c r="B38" s="326"/>
      <c r="C38" s="326"/>
      <c r="D38" s="326"/>
      <c r="E38" s="214"/>
    </row>
    <row r="39" spans="1:5" x14ac:dyDescent="0.2">
      <c r="E39" s="215"/>
    </row>
    <row r="40" spans="1:5" ht="12" x14ac:dyDescent="0.25">
      <c r="A40" s="257">
        <f>'Acc''g policies 1'!A5+1</f>
        <v>2</v>
      </c>
      <c r="B40" s="222"/>
      <c r="C40" s="329"/>
      <c r="D40" s="329"/>
    </row>
    <row r="41" spans="1:5" x14ac:dyDescent="0.2">
      <c r="B41" s="223"/>
      <c r="C41" s="329"/>
      <c r="D41" s="329"/>
    </row>
    <row r="42" spans="1:5" x14ac:dyDescent="0.2">
      <c r="B42" s="223"/>
      <c r="C42" s="329"/>
      <c r="D42" s="329"/>
    </row>
    <row r="43" spans="1:5" ht="12" x14ac:dyDescent="0.25">
      <c r="A43" s="257">
        <f>A40+0.1</f>
        <v>2.1</v>
      </c>
      <c r="B43" s="222"/>
      <c r="C43" s="329"/>
      <c r="D43" s="329"/>
    </row>
    <row r="44" spans="1:5" x14ac:dyDescent="0.2">
      <c r="B44" s="223"/>
      <c r="C44" s="329"/>
      <c r="D44" s="329"/>
    </row>
    <row r="45" spans="1:5" x14ac:dyDescent="0.2">
      <c r="B45" s="329"/>
      <c r="C45" s="329"/>
      <c r="D45" s="329"/>
    </row>
    <row r="46" spans="1:5" x14ac:dyDescent="0.2">
      <c r="B46" s="329"/>
      <c r="C46" s="329"/>
      <c r="D46" s="329"/>
    </row>
    <row r="47" spans="1:5" x14ac:dyDescent="0.2">
      <c r="B47" s="329"/>
      <c r="C47" s="329"/>
      <c r="D47" s="329"/>
    </row>
    <row r="48" spans="1:5" ht="12" x14ac:dyDescent="0.25">
      <c r="A48" s="257">
        <f>A37+1</f>
        <v>35</v>
      </c>
      <c r="B48" s="107"/>
      <c r="E48" s="171"/>
    </row>
    <row r="49" spans="1:6" x14ac:dyDescent="0.2">
      <c r="A49" s="72"/>
      <c r="B49" s="167"/>
      <c r="C49" s="167"/>
      <c r="D49" s="167"/>
      <c r="E49" s="167"/>
      <c r="F49" s="167"/>
    </row>
    <row r="50" spans="1:6" x14ac:dyDescent="0.2">
      <c r="E50" s="215"/>
    </row>
    <row r="51" spans="1:6" ht="12" x14ac:dyDescent="0.25">
      <c r="A51" s="257">
        <f>A48+1</f>
        <v>36</v>
      </c>
      <c r="B51" s="107"/>
      <c r="E51" s="171"/>
    </row>
    <row r="52" spans="1:6" x14ac:dyDescent="0.2">
      <c r="A52" s="72"/>
      <c r="B52" s="328"/>
      <c r="C52" s="328"/>
      <c r="D52" s="215"/>
      <c r="E52" s="215"/>
    </row>
    <row r="53" spans="1:6" x14ac:dyDescent="0.2">
      <c r="A53" s="72"/>
      <c r="B53" s="108"/>
      <c r="C53" s="108"/>
      <c r="D53" s="108"/>
    </row>
    <row r="54" spans="1:6" x14ac:dyDescent="0.2">
      <c r="A54" s="72"/>
      <c r="B54" s="108"/>
      <c r="C54" s="108"/>
      <c r="D54" s="108"/>
    </row>
    <row r="55" spans="1:6" x14ac:dyDescent="0.2">
      <c r="A55" s="72"/>
      <c r="B55" s="108"/>
      <c r="C55" s="108"/>
      <c r="D55" s="108"/>
    </row>
  </sheetData>
  <pageMargins left="0.70866141732283472" right="0.70866141732283472" top="0.74803149606299213" bottom="0.74803149606299213" header="0.31496062992125984" footer="0.31496062992125984"/>
  <pageSetup paperSize="9" fitToHeight="0" orientation="portrait" r:id="rId1"/>
  <headerFooter>
    <oddHeader>&amp;C&amp;10Hull University Teaching Hospitals NHS Trust - Annual Accounts 2018/19</oddHeader>
    <oddFooter>&amp;C&amp;10Page &amp;P</oddFooter>
  </headerFooter>
  <rowBreaks count="1" manualBreakCount="1">
    <brk id="3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6"/>
  <sheetViews>
    <sheetView workbookViewId="0">
      <selection activeCell="B30" sqref="B30:F32"/>
    </sheetView>
  </sheetViews>
  <sheetFormatPr defaultColWidth="9.109375" defaultRowHeight="11.4" x14ac:dyDescent="0.2"/>
  <cols>
    <col min="1" max="1" width="1.6640625" style="722" customWidth="1"/>
    <col min="2" max="2" width="85.88671875" style="721" customWidth="1"/>
    <col min="3" max="3" width="12.109375" style="721" customWidth="1"/>
    <col min="4" max="4" width="12.88671875" style="721" customWidth="1"/>
    <col min="5" max="16384" width="9.109375" style="767"/>
  </cols>
  <sheetData>
    <row r="2" spans="1:5" ht="12" x14ac:dyDescent="0.25">
      <c r="A2" s="722">
        <f>'Acc''g policies 7'!A25+1</f>
        <v>32</v>
      </c>
      <c r="B2" s="678" t="str">
        <f>"Note 1." &amp;A2&amp;" Research and Development"</f>
        <v>Note 1.32 Research and Development</v>
      </c>
    </row>
    <row r="3" spans="1:5" ht="12" x14ac:dyDescent="0.25">
      <c r="B3" s="678"/>
    </row>
    <row r="4" spans="1:5" ht="69" customHeight="1" x14ac:dyDescent="0.2">
      <c r="B4" s="766" t="s">
        <v>1015</v>
      </c>
      <c r="C4" s="766"/>
      <c r="D4" s="766"/>
    </row>
    <row r="5" spans="1:5" ht="16.2" customHeight="1" x14ac:dyDescent="0.2"/>
    <row r="6" spans="1:5" ht="12" x14ac:dyDescent="0.25">
      <c r="A6" s="722">
        <f>A2+1</f>
        <v>33</v>
      </c>
      <c r="B6" s="440" t="str">
        <f>"Note 1." &amp;A6&amp;" Standards, amendments and interpretations in issue but not yet effective or adopted"</f>
        <v>Note 1.33 Standards, amendments and interpretations in issue but not yet effective or adopted</v>
      </c>
    </row>
    <row r="7" spans="1:5" ht="15.6" customHeight="1" x14ac:dyDescent="0.2">
      <c r="B7" s="775"/>
      <c r="C7" s="766"/>
      <c r="D7" s="766"/>
    </row>
    <row r="8" spans="1:5" ht="34.950000000000003" customHeight="1" x14ac:dyDescent="0.2">
      <c r="B8" s="759" t="s">
        <v>1123</v>
      </c>
      <c r="C8" s="765"/>
      <c r="D8" s="766"/>
    </row>
    <row r="9" spans="1:5" ht="13.95" customHeight="1" x14ac:dyDescent="0.2">
      <c r="B9" s="590"/>
      <c r="C9" s="766"/>
      <c r="D9" s="766"/>
    </row>
    <row r="10" spans="1:5" hidden="1" x14ac:dyDescent="0.2"/>
    <row r="11" spans="1:5" ht="12" hidden="1" x14ac:dyDescent="0.25">
      <c r="A11" s="722">
        <f>A6+1</f>
        <v>34</v>
      </c>
      <c r="B11" s="338"/>
    </row>
    <row r="12" spans="1:5" ht="16.95" hidden="1" customHeight="1" x14ac:dyDescent="0.25">
      <c r="B12" s="766"/>
      <c r="C12" s="766"/>
      <c r="D12" s="766"/>
      <c r="E12" s="214"/>
    </row>
    <row r="13" spans="1:5" ht="24.6" customHeight="1" x14ac:dyDescent="0.25">
      <c r="B13" s="769" t="s">
        <v>1124</v>
      </c>
      <c r="C13" s="766"/>
      <c r="D13" s="766"/>
      <c r="E13" s="214"/>
    </row>
    <row r="14" spans="1:5" ht="12.6" customHeight="1" x14ac:dyDescent="0.25">
      <c r="B14" s="766"/>
      <c r="C14" s="766"/>
      <c r="D14" s="766"/>
      <c r="E14" s="214"/>
    </row>
    <row r="15" spans="1:5" ht="24.6" customHeight="1" x14ac:dyDescent="0.25">
      <c r="B15" s="766" t="s">
        <v>1125</v>
      </c>
      <c r="C15" s="766"/>
      <c r="D15" s="766"/>
      <c r="E15" s="214"/>
    </row>
    <row r="16" spans="1:5" ht="12.6" customHeight="1" x14ac:dyDescent="0.25">
      <c r="B16" s="766"/>
      <c r="C16" s="766"/>
      <c r="D16" s="766"/>
      <c r="E16" s="214"/>
    </row>
    <row r="17" spans="1:6" ht="25.2" customHeight="1" x14ac:dyDescent="0.25">
      <c r="B17" s="789" t="s">
        <v>1126</v>
      </c>
      <c r="C17" s="766"/>
      <c r="D17" s="766"/>
      <c r="E17" s="214"/>
    </row>
    <row r="18" spans="1:6" ht="12.6" customHeight="1" x14ac:dyDescent="0.25">
      <c r="B18" s="789"/>
      <c r="C18" s="766"/>
      <c r="D18" s="766"/>
      <c r="E18" s="214"/>
    </row>
    <row r="19" spans="1:6" ht="25.2" customHeight="1" x14ac:dyDescent="0.25">
      <c r="B19" s="789" t="s">
        <v>1127</v>
      </c>
      <c r="C19" s="766"/>
      <c r="D19" s="766"/>
      <c r="E19" s="214"/>
    </row>
    <row r="20" spans="1:6" x14ac:dyDescent="0.2">
      <c r="E20" s="215"/>
    </row>
    <row r="21" spans="1:6" ht="12" x14ac:dyDescent="0.25">
      <c r="A21" s="722">
        <f>'Acc''g policies 1'!A5+1</f>
        <v>2</v>
      </c>
      <c r="B21" s="440"/>
      <c r="C21" s="682"/>
      <c r="D21" s="682"/>
    </row>
    <row r="22" spans="1:6" x14ac:dyDescent="0.2">
      <c r="B22" s="782"/>
      <c r="C22" s="682"/>
      <c r="D22" s="682"/>
    </row>
    <row r="23" spans="1:6" x14ac:dyDescent="0.2">
      <c r="B23" s="782"/>
      <c r="C23" s="682"/>
      <c r="D23" s="682"/>
    </row>
    <row r="24" spans="1:6" ht="12" x14ac:dyDescent="0.25">
      <c r="A24" s="722">
        <f>A21+0.1</f>
        <v>2.1</v>
      </c>
      <c r="B24" s="440"/>
      <c r="C24" s="682"/>
      <c r="D24" s="682"/>
    </row>
    <row r="25" spans="1:6" x14ac:dyDescent="0.2">
      <c r="B25" s="782"/>
      <c r="C25" s="682"/>
      <c r="D25" s="682"/>
    </row>
    <row r="26" spans="1:6" x14ac:dyDescent="0.2">
      <c r="B26" s="682"/>
      <c r="C26" s="682"/>
      <c r="D26" s="682"/>
    </row>
    <row r="27" spans="1:6" x14ac:dyDescent="0.2">
      <c r="B27" s="682"/>
      <c r="C27" s="682"/>
      <c r="D27" s="682"/>
    </row>
    <row r="28" spans="1:6" x14ac:dyDescent="0.2">
      <c r="B28" s="682"/>
      <c r="C28" s="682"/>
      <c r="D28" s="682"/>
    </row>
    <row r="29" spans="1:6" ht="12" x14ac:dyDescent="0.25">
      <c r="A29" s="722">
        <f>A11+1</f>
        <v>35</v>
      </c>
      <c r="B29" s="714"/>
      <c r="E29" s="661"/>
    </row>
    <row r="30" spans="1:6" x14ac:dyDescent="0.2">
      <c r="A30" s="368"/>
      <c r="B30" s="768"/>
      <c r="C30" s="768"/>
      <c r="D30" s="768"/>
      <c r="E30" s="768"/>
      <c r="F30" s="768"/>
    </row>
    <row r="31" spans="1:6" x14ac:dyDescent="0.2">
      <c r="E31" s="215"/>
    </row>
    <row r="32" spans="1:6" ht="12" x14ac:dyDescent="0.25">
      <c r="A32" s="722">
        <f>A29+1</f>
        <v>36</v>
      </c>
      <c r="B32" s="714"/>
      <c r="E32" s="661"/>
    </row>
    <row r="33" spans="1:5" x14ac:dyDescent="0.2">
      <c r="A33" s="368"/>
      <c r="B33" s="771"/>
      <c r="C33" s="771"/>
      <c r="D33" s="215"/>
      <c r="E33" s="215"/>
    </row>
    <row r="34" spans="1:5" x14ac:dyDescent="0.2">
      <c r="A34" s="368"/>
      <c r="B34" s="683"/>
      <c r="C34" s="683"/>
      <c r="D34" s="683"/>
    </row>
    <row r="35" spans="1:5" x14ac:dyDescent="0.2">
      <c r="A35" s="368"/>
      <c r="B35" s="683"/>
      <c r="C35" s="683"/>
      <c r="D35" s="683"/>
    </row>
    <row r="36" spans="1:5" x14ac:dyDescent="0.2">
      <c r="A36" s="368"/>
      <c r="B36" s="683"/>
      <c r="C36" s="683"/>
      <c r="D36" s="683"/>
    </row>
  </sheetData>
  <pageMargins left="0.70866141732283472" right="0.70866141732283472" top="0.74803149606299213" bottom="0.74803149606299213" header="0.31496062992125984" footer="0.31496062992125984"/>
  <pageSetup paperSize="9" orientation="portrait" r:id="rId1"/>
  <headerFooter>
    <oddHeader>&amp;C&amp;10Hull University Teaching Hospitals NHS Trust - Annual Accounts 2018/19</oddHeader>
    <oddFooter>&amp;C&amp;10Page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43"/>
  <sheetViews>
    <sheetView zoomScaleNormal="100" workbookViewId="0">
      <selection activeCell="B30" sqref="B30:F32"/>
    </sheetView>
  </sheetViews>
  <sheetFormatPr defaultRowHeight="14.1" customHeight="1" x14ac:dyDescent="0.3"/>
  <cols>
    <col min="1" max="1" width="1.109375" style="53" customWidth="1"/>
    <col min="2" max="2" width="62.109375" style="18" customWidth="1"/>
    <col min="3" max="3" width="8.6640625" customWidth="1"/>
    <col min="4" max="4" width="2.6640625" style="43" customWidth="1"/>
    <col min="5" max="5" width="8.6640625" style="626" customWidth="1"/>
    <col min="10" max="10" width="9.109375" customWidth="1"/>
  </cols>
  <sheetData>
    <row r="1" spans="1:11" ht="14.1" customHeight="1" x14ac:dyDescent="0.3">
      <c r="A1" s="53">
        <v>2</v>
      </c>
      <c r="B1" s="20" t="str">
        <f>"Note " &amp;A1 &amp; " Operating income from patient care activities"</f>
        <v>Note 2 Operating income from patient care activities</v>
      </c>
      <c r="C1" s="16"/>
      <c r="I1" s="41"/>
      <c r="J1" s="41"/>
      <c r="K1" s="41"/>
    </row>
    <row r="2" spans="1:11" s="672" customFormat="1" ht="14.1" customHeight="1" x14ac:dyDescent="0.3">
      <c r="A2" s="655"/>
      <c r="B2" s="777"/>
      <c r="D2" s="43"/>
      <c r="E2" s="626"/>
    </row>
    <row r="3" spans="1:11" s="244" customFormat="1" ht="14.1" customHeight="1" x14ac:dyDescent="0.3">
      <c r="A3" s="53"/>
      <c r="B3" s="339" t="str">
        <f>"All income from patient care activities relates to contract income recognised in line with accounting policy 1."&amp;'Acc''g policies 2'!A1</f>
        <v>All income from patient care activities relates to contract income recognised in line with accounting policy 1.4</v>
      </c>
      <c r="D3" s="43"/>
      <c r="E3" s="626"/>
      <c r="G3" s="232"/>
    </row>
    <row r="4" spans="1:11" s="672" customFormat="1" ht="14.1" customHeight="1" x14ac:dyDescent="0.3">
      <c r="A4" s="655"/>
      <c r="B4" s="339"/>
      <c r="D4" s="43"/>
      <c r="E4" s="626"/>
      <c r="G4" s="556"/>
    </row>
    <row r="5" spans="1:11" s="41" customFormat="1" ht="14.1" customHeight="1" x14ac:dyDescent="0.3">
      <c r="A5" s="53"/>
      <c r="B5" s="127"/>
      <c r="D5" s="43"/>
      <c r="E5" s="626"/>
      <c r="G5" s="232"/>
    </row>
    <row r="6" spans="1:11" ht="14.1" customHeight="1" x14ac:dyDescent="0.3">
      <c r="A6" s="51">
        <f>'Op Inc'!A1+0.1</f>
        <v>2.1</v>
      </c>
      <c r="B6" s="21" t="str">
        <f>"Note "&amp;A6 &amp;" Income from patient care activities (by nature)"</f>
        <v>Note 2.1 Income from patient care activities (by nature)</v>
      </c>
      <c r="C6" s="113" t="str">
        <f>CurrentFY</f>
        <v>2018/19</v>
      </c>
      <c r="D6" s="113"/>
      <c r="E6" s="624" t="str">
        <f>ComparativeFY</f>
        <v>2017/18</v>
      </c>
      <c r="G6" s="232"/>
      <c r="I6" s="41"/>
      <c r="J6" s="41"/>
      <c r="K6" s="41"/>
    </row>
    <row r="7" spans="1:11" ht="14.1" customHeight="1" x14ac:dyDescent="0.3">
      <c r="B7" s="128"/>
      <c r="C7" s="113" t="s">
        <v>283</v>
      </c>
      <c r="D7" s="113"/>
      <c r="E7" s="624" t="s">
        <v>283</v>
      </c>
      <c r="G7" s="232"/>
      <c r="I7" s="41"/>
      <c r="J7" s="41"/>
      <c r="K7" s="41"/>
    </row>
    <row r="8" spans="1:11" ht="14.1" customHeight="1" x14ac:dyDescent="0.3">
      <c r="B8" s="142"/>
      <c r="C8" s="28"/>
      <c r="D8" s="27"/>
      <c r="E8" s="28"/>
      <c r="G8" s="232"/>
      <c r="I8" s="41"/>
      <c r="J8" s="41"/>
      <c r="K8" s="41"/>
    </row>
    <row r="9" spans="1:11" ht="14.1" customHeight="1" x14ac:dyDescent="0.3">
      <c r="B9" s="164" t="s">
        <v>307</v>
      </c>
      <c r="C9" s="62">
        <v>101147</v>
      </c>
      <c r="D9" s="62"/>
      <c r="E9" s="620">
        <v>94942</v>
      </c>
      <c r="G9" s="232"/>
      <c r="I9" s="41"/>
      <c r="J9" s="41"/>
      <c r="K9" s="41"/>
    </row>
    <row r="10" spans="1:11" ht="14.1" customHeight="1" x14ac:dyDescent="0.3">
      <c r="B10" s="164" t="s">
        <v>308</v>
      </c>
      <c r="C10" s="62">
        <v>155199</v>
      </c>
      <c r="D10" s="62"/>
      <c r="E10" s="620">
        <v>143700</v>
      </c>
      <c r="G10" s="232"/>
      <c r="I10" s="41"/>
      <c r="J10" s="41"/>
      <c r="K10" s="41"/>
    </row>
    <row r="11" spans="1:11" ht="14.1" customHeight="1" x14ac:dyDescent="0.3">
      <c r="B11" s="164" t="s">
        <v>594</v>
      </c>
      <c r="C11" s="62">
        <v>32864.63105736929</v>
      </c>
      <c r="D11" s="62"/>
      <c r="E11" s="620">
        <v>31550</v>
      </c>
      <c r="I11" s="41"/>
      <c r="J11" s="41"/>
      <c r="K11" s="41"/>
    </row>
    <row r="12" spans="1:11" s="41" customFormat="1" ht="14.1" customHeight="1" x14ac:dyDescent="0.3">
      <c r="A12" s="53"/>
      <c r="B12" s="164" t="s">
        <v>595</v>
      </c>
      <c r="C12" s="62">
        <v>34229.36894263071</v>
      </c>
      <c r="D12" s="62"/>
      <c r="E12" s="620">
        <v>31311</v>
      </c>
    </row>
    <row r="13" spans="1:11" ht="14.1" customHeight="1" x14ac:dyDescent="0.3">
      <c r="B13" s="164" t="s">
        <v>309</v>
      </c>
      <c r="C13" s="62">
        <v>17912</v>
      </c>
      <c r="D13" s="62"/>
      <c r="E13" s="620">
        <v>17340</v>
      </c>
    </row>
    <row r="14" spans="1:11" s="41" customFormat="1" ht="14.4" x14ac:dyDescent="0.3">
      <c r="A14" s="53"/>
      <c r="B14" s="164" t="s">
        <v>596</v>
      </c>
      <c r="C14" s="62">
        <v>62041</v>
      </c>
      <c r="D14" s="62"/>
      <c r="E14" s="620">
        <v>60946</v>
      </c>
    </row>
    <row r="15" spans="1:11" ht="14.1" customHeight="1" x14ac:dyDescent="0.3">
      <c r="B15" s="164" t="s">
        <v>313</v>
      </c>
      <c r="C15" s="62">
        <v>140983</v>
      </c>
      <c r="D15" s="62"/>
      <c r="E15" s="620">
        <v>146665</v>
      </c>
    </row>
    <row r="16" spans="1:11" ht="14.1" customHeight="1" x14ac:dyDescent="0.3">
      <c r="B16" s="164" t="s">
        <v>310</v>
      </c>
      <c r="C16" s="62">
        <v>681.58199999999999</v>
      </c>
      <c r="D16" s="62"/>
      <c r="E16" s="620">
        <v>574</v>
      </c>
    </row>
    <row r="17" spans="1:8" s="244" customFormat="1" ht="14.1" customHeight="1" x14ac:dyDescent="0.3">
      <c r="A17" s="53"/>
      <c r="B17" s="164" t="s">
        <v>945</v>
      </c>
      <c r="C17" s="258">
        <v>5017</v>
      </c>
      <c r="D17" s="258"/>
      <c r="E17" s="620">
        <v>0</v>
      </c>
    </row>
    <row r="18" spans="1:8" ht="14.1" customHeight="1" x14ac:dyDescent="0.3">
      <c r="B18" s="164" t="s">
        <v>315</v>
      </c>
      <c r="C18" s="62">
        <v>5992</v>
      </c>
      <c r="D18" s="62"/>
      <c r="E18" s="620">
        <v>5625</v>
      </c>
    </row>
    <row r="19" spans="1:8" ht="14.1" customHeight="1" thickBot="1" x14ac:dyDescent="0.35">
      <c r="B19" s="141" t="s">
        <v>311</v>
      </c>
      <c r="C19" s="63">
        <f>SUM(C8:C18)</f>
        <v>556066.58200000005</v>
      </c>
      <c r="D19" s="62"/>
      <c r="E19" s="622">
        <f>SUM(E8:E18)</f>
        <v>532653</v>
      </c>
    </row>
    <row r="20" spans="1:8" ht="14.1" customHeight="1" thickTop="1" x14ac:dyDescent="0.3">
      <c r="C20" s="28"/>
      <c r="D20" s="27"/>
      <c r="E20" s="28"/>
    </row>
    <row r="21" spans="1:8" s="648" customFormat="1" ht="14.1" customHeight="1" x14ac:dyDescent="0.3">
      <c r="A21" s="655"/>
      <c r="B21" s="649"/>
      <c r="C21" s="653"/>
      <c r="D21" s="652"/>
      <c r="E21" s="653"/>
    </row>
    <row r="22" spans="1:8" s="41" customFormat="1" ht="14.1" customHeight="1" x14ac:dyDescent="0.3">
      <c r="A22" s="53"/>
      <c r="B22" s="142"/>
      <c r="D22" s="43"/>
      <c r="E22" s="626"/>
    </row>
    <row r="23" spans="1:8" s="3" customFormat="1" ht="14.1" customHeight="1" x14ac:dyDescent="0.2">
      <c r="A23" s="51">
        <f>'Op Inc'!A6+0.1</f>
        <v>2.2000000000000002</v>
      </c>
      <c r="B23" s="21" t="str">
        <f>"Note "&amp;A23 &amp;" Income from patient care activities (by source)"</f>
        <v>Note 2.2 Income from patient care activities (by source)</v>
      </c>
      <c r="D23" s="2"/>
      <c r="E23" s="255"/>
    </row>
    <row r="24" spans="1:8" s="3" customFormat="1" ht="14.1" customHeight="1" x14ac:dyDescent="0.2">
      <c r="A24" s="51"/>
      <c r="B24" s="21"/>
      <c r="D24" s="2"/>
      <c r="E24" s="255"/>
    </row>
    <row r="25" spans="1:8" s="3" customFormat="1" ht="14.1" customHeight="1" x14ac:dyDescent="0.25">
      <c r="A25" s="51"/>
      <c r="B25" s="21" t="s">
        <v>456</v>
      </c>
      <c r="C25" s="113" t="str">
        <f>CurrentFY</f>
        <v>2018/19</v>
      </c>
      <c r="D25" s="113"/>
      <c r="E25" s="624" t="str">
        <f>ComparativeFY</f>
        <v>2017/18</v>
      </c>
      <c r="F25" s="121"/>
    </row>
    <row r="26" spans="1:8" s="3" customFormat="1" ht="14.1" customHeight="1" x14ac:dyDescent="0.25">
      <c r="A26" s="51"/>
      <c r="C26" s="113" t="s">
        <v>283</v>
      </c>
      <c r="D26" s="113"/>
      <c r="E26" s="624" t="s">
        <v>283</v>
      </c>
      <c r="F26" s="121"/>
    </row>
    <row r="27" spans="1:8" s="3" customFormat="1" ht="22.95" customHeight="1" x14ac:dyDescent="0.2">
      <c r="A27" s="51"/>
      <c r="B27" s="251" t="s">
        <v>848</v>
      </c>
      <c r="C27" s="62">
        <v>183460</v>
      </c>
      <c r="D27" s="62"/>
      <c r="E27" s="620">
        <v>180813.4</v>
      </c>
    </row>
    <row r="28" spans="1:8" s="3" customFormat="1" ht="14.1" customHeight="1" x14ac:dyDescent="0.2">
      <c r="A28" s="51"/>
      <c r="B28" s="251" t="s">
        <v>849</v>
      </c>
      <c r="C28" s="258">
        <v>358848</v>
      </c>
      <c r="D28" s="258"/>
      <c r="E28" s="620">
        <v>344145</v>
      </c>
    </row>
    <row r="29" spans="1:8" s="3" customFormat="1" ht="14.1" hidden="1" customHeight="1" x14ac:dyDescent="0.2">
      <c r="A29" s="51"/>
      <c r="B29" s="137"/>
      <c r="C29" s="258"/>
      <c r="D29" s="258"/>
      <c r="E29" s="620"/>
      <c r="H29" s="681"/>
    </row>
    <row r="30" spans="1:8" s="255" customFormat="1" ht="14.1" customHeight="1" x14ac:dyDescent="0.2">
      <c r="A30" s="256"/>
      <c r="B30" s="826" t="s">
        <v>1144</v>
      </c>
      <c r="C30" s="670">
        <v>1741</v>
      </c>
      <c r="D30" s="670"/>
      <c r="E30" s="671">
        <v>1475</v>
      </c>
      <c r="H30" s="681"/>
    </row>
    <row r="31" spans="1:8" s="3" customFormat="1" ht="14.1" customHeight="1" x14ac:dyDescent="0.2">
      <c r="A31" s="51"/>
      <c r="B31" s="137" t="s">
        <v>1145</v>
      </c>
      <c r="C31" s="258">
        <v>51</v>
      </c>
      <c r="D31" s="258"/>
      <c r="E31" s="620">
        <v>24</v>
      </c>
    </row>
    <row r="32" spans="1:8" s="3" customFormat="1" ht="14.1" customHeight="1" x14ac:dyDescent="0.2">
      <c r="A32" s="51"/>
      <c r="B32" s="137" t="s">
        <v>319</v>
      </c>
      <c r="C32" s="258">
        <v>487</v>
      </c>
      <c r="D32" s="258"/>
      <c r="E32" s="620">
        <v>380</v>
      </c>
    </row>
    <row r="33" spans="1:5" s="3" customFormat="1" ht="14.1" customHeight="1" x14ac:dyDescent="0.2">
      <c r="A33" s="51"/>
      <c r="B33" s="3" t="s">
        <v>1146</v>
      </c>
      <c r="C33" s="882">
        <v>5017</v>
      </c>
      <c r="E33" s="3">
        <v>0</v>
      </c>
    </row>
    <row r="34" spans="1:5" s="3" customFormat="1" ht="14.1" customHeight="1" x14ac:dyDescent="0.2">
      <c r="A34" s="51"/>
      <c r="B34" s="3" t="s">
        <v>1214</v>
      </c>
      <c r="C34" s="258">
        <v>277</v>
      </c>
      <c r="D34" s="258"/>
      <c r="E34" s="620">
        <v>335</v>
      </c>
    </row>
    <row r="35" spans="1:5" s="3" customFormat="1" ht="14.1" customHeight="1" x14ac:dyDescent="0.2">
      <c r="A35" s="51"/>
      <c r="B35" s="137" t="s">
        <v>449</v>
      </c>
      <c r="C35" s="258">
        <v>682</v>
      </c>
      <c r="D35" s="258"/>
      <c r="E35" s="620">
        <v>574</v>
      </c>
    </row>
    <row r="36" spans="1:5" s="3" customFormat="1" ht="14.1" customHeight="1" x14ac:dyDescent="0.2">
      <c r="A36" s="51"/>
      <c r="B36" s="137" t="s">
        <v>450</v>
      </c>
      <c r="C36" s="258">
        <v>240</v>
      </c>
      <c r="D36" s="258"/>
      <c r="E36" s="620">
        <v>236</v>
      </c>
    </row>
    <row r="37" spans="1:5" s="3" customFormat="1" ht="14.1" customHeight="1" x14ac:dyDescent="0.2">
      <c r="A37" s="51"/>
      <c r="B37" s="137" t="s">
        <v>946</v>
      </c>
      <c r="C37" s="258">
        <v>2294</v>
      </c>
      <c r="D37" s="258"/>
      <c r="E37" s="620">
        <v>2319</v>
      </c>
    </row>
    <row r="38" spans="1:5" s="3" customFormat="1" ht="14.1" customHeight="1" x14ac:dyDescent="0.2">
      <c r="A38" s="51"/>
      <c r="B38" s="137" t="s">
        <v>451</v>
      </c>
      <c r="C38" s="258">
        <v>2970</v>
      </c>
      <c r="D38" s="258"/>
      <c r="E38" s="620">
        <v>2352</v>
      </c>
    </row>
    <row r="39" spans="1:5" s="3" customFormat="1" ht="14.1" customHeight="1" thickBot="1" x14ac:dyDescent="0.3">
      <c r="A39" s="51"/>
      <c r="B39" s="140" t="s">
        <v>311</v>
      </c>
      <c r="C39" s="63">
        <f>SUM(C27:C38)</f>
        <v>556067</v>
      </c>
      <c r="D39" s="62"/>
      <c r="E39" s="622">
        <f>SUM(E27:E38)</f>
        <v>532653.4</v>
      </c>
    </row>
    <row r="40" spans="1:5" s="3" customFormat="1" ht="21.6" customHeight="1" thickTop="1" x14ac:dyDescent="0.2">
      <c r="A40" s="51"/>
      <c r="B40" s="140"/>
      <c r="C40" s="28"/>
      <c r="D40" s="27"/>
      <c r="E40" s="28"/>
    </row>
    <row r="41" spans="1:5" s="3" customFormat="1" ht="14.1" customHeight="1" x14ac:dyDescent="0.2">
      <c r="A41" s="51"/>
      <c r="B41" s="197" t="s">
        <v>1073</v>
      </c>
      <c r="C41" s="258"/>
      <c r="D41" s="258"/>
      <c r="E41" s="620"/>
    </row>
    <row r="42" spans="1:5" s="3" customFormat="1" ht="14.1" customHeight="1" x14ac:dyDescent="0.2">
      <c r="A42" s="51"/>
      <c r="B42" s="13"/>
      <c r="C42" s="62"/>
      <c r="D42" s="62"/>
      <c r="E42" s="620"/>
    </row>
    <row r="43" spans="1:5" s="3" customFormat="1" ht="14.1" customHeight="1" x14ac:dyDescent="0.2">
      <c r="A43" s="51"/>
      <c r="D43" s="2"/>
      <c r="E43" s="255"/>
    </row>
  </sheetData>
  <customSheetViews>
    <customSheetView guid="{EDC1BD6E-863A-4FC6-A3A9-F32079F4F0C1}">
      <selection activeCell="K10" sqref="K10"/>
      <pageMargins left="0.7" right="0.7" top="0.75" bottom="0.75" header="0.3" footer="0.3"/>
      <pageSetup paperSize="9" orientation="portrait" verticalDpi="0" r:id="rId1"/>
      <headerFooter>
        <oddHeader>&amp;LINSERT YOUR NHS Foundation Trust&amp;RStatement of accounts 2014/15</oddHeader>
      </headerFooter>
    </customSheetView>
  </customSheetViews>
  <pageMargins left="0.70866141732283472" right="0.70866141732283472" top="0.74803149606299213" bottom="0.74803149606299213" header="0.31496062992125984" footer="0.31496062992125984"/>
  <pageSetup paperSize="9" orientation="portrait" r:id="rId2"/>
  <headerFooter>
    <oddHeader>&amp;C&amp;10Hull University Teaching Hospitals NHS Trust - Annual Accounts 2018/19</oddHeader>
    <oddFooter>&amp;C&amp;10Page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B2:F266"/>
  <sheetViews>
    <sheetView workbookViewId="0">
      <selection sqref="A1:XFD1048576"/>
    </sheetView>
  </sheetViews>
  <sheetFormatPr defaultColWidth="9.109375" defaultRowHeight="13.2" x14ac:dyDescent="0.25"/>
  <cols>
    <col min="1" max="1" width="3.109375" style="5" customWidth="1"/>
    <col min="2" max="2" width="43.6640625" style="255" customWidth="1"/>
    <col min="3" max="3" width="40" style="255" customWidth="1"/>
    <col min="4" max="4" width="11.6640625" style="255" bestFit="1" customWidth="1"/>
    <col min="5" max="6" width="9.109375" style="255"/>
    <col min="7" max="16384" width="9.109375" style="5"/>
  </cols>
  <sheetData>
    <row r="2" spans="2:4" ht="24" customHeight="1" x14ac:dyDescent="0.4">
      <c r="B2" s="992" t="s">
        <v>852</v>
      </c>
      <c r="C2" s="992"/>
    </row>
    <row r="4" spans="2:4" ht="13.8" x14ac:dyDescent="0.25">
      <c r="B4" s="78" t="s">
        <v>0</v>
      </c>
      <c r="C4" s="116"/>
    </row>
    <row r="5" spans="2:4" ht="13.8" thickBot="1" x14ac:dyDescent="0.3"/>
    <row r="6" spans="2:4" ht="13.8" thickBot="1" x14ac:dyDescent="0.3">
      <c r="B6" s="255" t="s">
        <v>1</v>
      </c>
      <c r="C6" s="280" t="s">
        <v>742</v>
      </c>
    </row>
    <row r="7" spans="2:4" ht="27.75" customHeight="1" thickBot="1" x14ac:dyDescent="0.3">
      <c r="B7" s="255" t="s">
        <v>672</v>
      </c>
      <c r="C7" s="134" t="str">
        <f>VLOOKUP(C6,B36:D266,2,FALSE)</f>
        <v>Hull University Teaching Hospitals NHS Trust</v>
      </c>
    </row>
    <row r="8" spans="2:4" ht="13.95" customHeight="1" thickBot="1" x14ac:dyDescent="0.3">
      <c r="B8" s="255" t="s">
        <v>875</v>
      </c>
      <c r="C8" s="134" t="str">
        <f>VLOOKUP(C6,B36:D266,3,FALSE)</f>
        <v>Trust</v>
      </c>
    </row>
    <row r="9" spans="2:4" ht="13.8" thickBot="1" x14ac:dyDescent="0.3"/>
    <row r="10" spans="2:4" ht="13.8" thickBot="1" x14ac:dyDescent="0.3">
      <c r="B10" s="255" t="s">
        <v>509</v>
      </c>
      <c r="C10" s="133">
        <v>43555</v>
      </c>
    </row>
    <row r="11" spans="2:4" ht="13.8" thickBot="1" x14ac:dyDescent="0.3">
      <c r="B11" s="255" t="s">
        <v>510</v>
      </c>
      <c r="C11" s="133">
        <v>43191</v>
      </c>
      <c r="D11" s="80" t="s">
        <v>489</v>
      </c>
    </row>
    <row r="12" spans="2:4" ht="13.8" thickBot="1" x14ac:dyDescent="0.3">
      <c r="B12" s="255" t="s">
        <v>511</v>
      </c>
      <c r="C12" s="133">
        <v>43190</v>
      </c>
      <c r="D12" s="80" t="s">
        <v>489</v>
      </c>
    </row>
    <row r="13" spans="2:4" ht="13.8" thickBot="1" x14ac:dyDescent="0.3">
      <c r="B13" s="255" t="s">
        <v>512</v>
      </c>
      <c r="C13" s="133">
        <v>42826</v>
      </c>
    </row>
    <row r="14" spans="2:4" ht="13.8" thickBot="1" x14ac:dyDescent="0.3">
      <c r="B14" s="73"/>
    </row>
    <row r="15" spans="2:4" ht="13.8" thickBot="1" x14ac:dyDescent="0.3">
      <c r="B15" s="73" t="s">
        <v>507</v>
      </c>
      <c r="C15" s="133" t="s">
        <v>588</v>
      </c>
    </row>
    <row r="16" spans="2:4" ht="13.8" thickBot="1" x14ac:dyDescent="0.3">
      <c r="B16" s="73" t="s">
        <v>508</v>
      </c>
      <c r="C16" s="133" t="s">
        <v>561</v>
      </c>
    </row>
    <row r="17" spans="2:4" ht="13.8" thickBot="1" x14ac:dyDescent="0.3">
      <c r="B17" s="73"/>
    </row>
    <row r="18" spans="2:4" ht="13.8" thickBot="1" x14ac:dyDescent="0.3">
      <c r="B18" s="73" t="s">
        <v>513</v>
      </c>
      <c r="C18" s="79" t="s">
        <v>876</v>
      </c>
    </row>
    <row r="19" spans="2:4" ht="13.8" thickBot="1" x14ac:dyDescent="0.3">
      <c r="B19" s="73" t="s">
        <v>514</v>
      </c>
      <c r="C19" s="79" t="s">
        <v>587</v>
      </c>
      <c r="D19" s="80" t="s">
        <v>488</v>
      </c>
    </row>
    <row r="20" spans="2:4" ht="13.8" thickBot="1" x14ac:dyDescent="0.3">
      <c r="B20" s="73" t="s">
        <v>515</v>
      </c>
      <c r="C20" s="79" t="s">
        <v>560</v>
      </c>
    </row>
    <row r="21" spans="2:4" ht="13.8" thickBot="1" x14ac:dyDescent="0.3"/>
    <row r="22" spans="2:4" ht="13.8" thickBot="1" x14ac:dyDescent="0.3">
      <c r="B22" s="255" t="s">
        <v>516</v>
      </c>
      <c r="C22" s="79" t="s">
        <v>877</v>
      </c>
    </row>
    <row r="23" spans="2:4" ht="13.8" thickBot="1" x14ac:dyDescent="0.3"/>
    <row r="24" spans="2:4" ht="13.8" thickBot="1" x14ac:dyDescent="0.3">
      <c r="B24" s="255" t="s">
        <v>528</v>
      </c>
      <c r="C24" s="132"/>
      <c r="D24" s="80" t="s">
        <v>527</v>
      </c>
    </row>
    <row r="26" spans="2:4" ht="61.5" customHeight="1" x14ac:dyDescent="0.25">
      <c r="B26" s="909" t="s">
        <v>674</v>
      </c>
      <c r="C26" s="909"/>
    </row>
    <row r="27" spans="2:4" x14ac:dyDescent="0.25">
      <c r="B27" s="681"/>
    </row>
    <row r="28" spans="2:4" x14ac:dyDescent="0.25">
      <c r="B28" s="95" t="s">
        <v>589</v>
      </c>
    </row>
    <row r="35" spans="2:6" ht="14.25" hidden="1" customHeight="1" thickBot="1" x14ac:dyDescent="0.3">
      <c r="B35" s="81" t="s">
        <v>1</v>
      </c>
      <c r="C35" s="82" t="s">
        <v>2</v>
      </c>
      <c r="D35" s="82" t="s">
        <v>845</v>
      </c>
    </row>
    <row r="36" spans="2:6" ht="13.8" hidden="1" thickTop="1" x14ac:dyDescent="0.25">
      <c r="B36" s="83" t="s">
        <v>3</v>
      </c>
      <c r="C36" s="85" t="s">
        <v>4</v>
      </c>
      <c r="D36" s="84"/>
      <c r="F36" s="85"/>
    </row>
    <row r="37" spans="2:6" hidden="1" x14ac:dyDescent="0.25">
      <c r="B37" s="89" t="s">
        <v>5</v>
      </c>
      <c r="C37" s="88" t="s">
        <v>689</v>
      </c>
      <c r="D37" s="90" t="s">
        <v>846</v>
      </c>
      <c r="F37" s="88"/>
    </row>
    <row r="38" spans="2:6" hidden="1" x14ac:dyDescent="0.25">
      <c r="B38" s="89" t="s">
        <v>6</v>
      </c>
      <c r="C38" s="88" t="s">
        <v>7</v>
      </c>
      <c r="D38" s="90" t="s">
        <v>846</v>
      </c>
      <c r="F38" s="88"/>
    </row>
    <row r="39" spans="2:6" hidden="1" x14ac:dyDescent="0.25">
      <c r="B39" s="86" t="s">
        <v>8</v>
      </c>
      <c r="C39" s="88" t="s">
        <v>9</v>
      </c>
      <c r="D39" s="87" t="s">
        <v>846</v>
      </c>
      <c r="F39" s="88"/>
    </row>
    <row r="40" spans="2:6" hidden="1" x14ac:dyDescent="0.25">
      <c r="B40" s="89" t="s">
        <v>10</v>
      </c>
      <c r="C40" s="88" t="s">
        <v>11</v>
      </c>
      <c r="D40" s="90" t="s">
        <v>846</v>
      </c>
      <c r="F40" s="88"/>
    </row>
    <row r="41" spans="2:6" hidden="1" x14ac:dyDescent="0.25">
      <c r="B41" s="89" t="s">
        <v>12</v>
      </c>
      <c r="C41" s="88" t="s">
        <v>299</v>
      </c>
      <c r="D41" s="90" t="s">
        <v>846</v>
      </c>
      <c r="F41" s="88"/>
    </row>
    <row r="42" spans="2:6" hidden="1" x14ac:dyDescent="0.25">
      <c r="B42" s="89" t="s">
        <v>692</v>
      </c>
      <c r="C42" s="277" t="s">
        <v>693</v>
      </c>
      <c r="D42" s="90" t="s">
        <v>847</v>
      </c>
      <c r="F42" s="88"/>
    </row>
    <row r="43" spans="2:6" hidden="1" x14ac:dyDescent="0.25">
      <c r="B43" s="89" t="s">
        <v>694</v>
      </c>
      <c r="C43" s="277" t="s">
        <v>695</v>
      </c>
      <c r="D43" s="278" t="s">
        <v>847</v>
      </c>
      <c r="F43" s="88"/>
    </row>
    <row r="44" spans="2:6" hidden="1" x14ac:dyDescent="0.25">
      <c r="B44" s="89" t="s">
        <v>696</v>
      </c>
      <c r="C44" s="277" t="s">
        <v>697</v>
      </c>
      <c r="D44" s="278" t="s">
        <v>847</v>
      </c>
      <c r="F44" s="88"/>
    </row>
    <row r="45" spans="2:6" hidden="1" x14ac:dyDescent="0.25">
      <c r="B45" s="89" t="s">
        <v>13</v>
      </c>
      <c r="C45" s="88" t="s">
        <v>14</v>
      </c>
      <c r="D45" s="90" t="s">
        <v>846</v>
      </c>
      <c r="F45" s="88"/>
    </row>
    <row r="46" spans="2:6" hidden="1" x14ac:dyDescent="0.25">
      <c r="B46" s="89" t="s">
        <v>698</v>
      </c>
      <c r="C46" s="277" t="s">
        <v>699</v>
      </c>
      <c r="D46" s="278" t="s">
        <v>847</v>
      </c>
      <c r="F46" s="88"/>
    </row>
    <row r="47" spans="2:6" hidden="1" x14ac:dyDescent="0.25">
      <c r="B47" s="89" t="s">
        <v>15</v>
      </c>
      <c r="C47" s="88" t="s">
        <v>565</v>
      </c>
      <c r="D47" s="90" t="s">
        <v>846</v>
      </c>
      <c r="F47" s="88"/>
    </row>
    <row r="48" spans="2:6" hidden="1" x14ac:dyDescent="0.25">
      <c r="B48" s="89" t="s">
        <v>16</v>
      </c>
      <c r="C48" s="88" t="s">
        <v>17</v>
      </c>
      <c r="D48" s="90" t="s">
        <v>846</v>
      </c>
      <c r="F48" s="88"/>
    </row>
    <row r="49" spans="2:6" hidden="1" x14ac:dyDescent="0.25">
      <c r="B49" s="89" t="s">
        <v>18</v>
      </c>
      <c r="C49" s="88" t="s">
        <v>929</v>
      </c>
      <c r="D49" s="90" t="s">
        <v>846</v>
      </c>
      <c r="F49" s="88"/>
    </row>
    <row r="50" spans="2:6" hidden="1" x14ac:dyDescent="0.25">
      <c r="B50" s="89" t="s">
        <v>700</v>
      </c>
      <c r="C50" s="277" t="s">
        <v>701</v>
      </c>
      <c r="D50" s="278" t="s">
        <v>847</v>
      </c>
      <c r="F50" s="88"/>
    </row>
    <row r="51" spans="2:6" hidden="1" x14ac:dyDescent="0.25">
      <c r="B51" s="89" t="s">
        <v>19</v>
      </c>
      <c r="C51" s="88" t="s">
        <v>20</v>
      </c>
      <c r="D51" s="90" t="s">
        <v>846</v>
      </c>
      <c r="F51" s="88"/>
    </row>
    <row r="52" spans="2:6" hidden="1" x14ac:dyDescent="0.25">
      <c r="B52" s="89" t="s">
        <v>566</v>
      </c>
      <c r="C52" s="88" t="s">
        <v>567</v>
      </c>
      <c r="D52" s="90" t="s">
        <v>846</v>
      </c>
      <c r="F52" s="88"/>
    </row>
    <row r="53" spans="2:6" hidden="1" x14ac:dyDescent="0.25">
      <c r="B53" s="89" t="s">
        <v>21</v>
      </c>
      <c r="C53" s="88" t="s">
        <v>22</v>
      </c>
      <c r="D53" s="90" t="s">
        <v>846</v>
      </c>
      <c r="F53" s="88"/>
    </row>
    <row r="54" spans="2:6" hidden="1" x14ac:dyDescent="0.25">
      <c r="B54" s="89" t="s">
        <v>23</v>
      </c>
      <c r="C54" s="88" t="s">
        <v>24</v>
      </c>
      <c r="D54" s="90" t="s">
        <v>846</v>
      </c>
      <c r="F54" s="88"/>
    </row>
    <row r="55" spans="2:6" hidden="1" x14ac:dyDescent="0.25">
      <c r="B55" s="89" t="s">
        <v>25</v>
      </c>
      <c r="C55" s="88" t="s">
        <v>26</v>
      </c>
      <c r="D55" s="90" t="s">
        <v>846</v>
      </c>
      <c r="F55" s="88"/>
    </row>
    <row r="56" spans="2:6" hidden="1" x14ac:dyDescent="0.25">
      <c r="B56" s="89" t="s">
        <v>27</v>
      </c>
      <c r="C56" s="88" t="s">
        <v>28</v>
      </c>
      <c r="D56" s="90" t="s">
        <v>846</v>
      </c>
      <c r="F56" s="88"/>
    </row>
    <row r="57" spans="2:6" hidden="1" x14ac:dyDescent="0.25">
      <c r="B57" s="89" t="s">
        <v>29</v>
      </c>
      <c r="C57" s="88" t="s">
        <v>30</v>
      </c>
      <c r="D57" s="90" t="s">
        <v>846</v>
      </c>
      <c r="F57" s="88"/>
    </row>
    <row r="58" spans="2:6" hidden="1" x14ac:dyDescent="0.25">
      <c r="B58" s="89" t="s">
        <v>558</v>
      </c>
      <c r="C58" s="88" t="s">
        <v>557</v>
      </c>
      <c r="D58" s="90" t="s">
        <v>846</v>
      </c>
      <c r="F58" s="88"/>
    </row>
    <row r="59" spans="2:6" hidden="1" x14ac:dyDescent="0.25">
      <c r="B59" s="89" t="s">
        <v>444</v>
      </c>
      <c r="C59" s="88" t="s">
        <v>445</v>
      </c>
      <c r="D59" s="90" t="s">
        <v>846</v>
      </c>
      <c r="F59" s="88"/>
    </row>
    <row r="60" spans="2:6" hidden="1" x14ac:dyDescent="0.25">
      <c r="B60" s="89" t="s">
        <v>702</v>
      </c>
      <c r="C60" s="277" t="s">
        <v>703</v>
      </c>
      <c r="D60" s="278" t="s">
        <v>847</v>
      </c>
      <c r="F60" s="88"/>
    </row>
    <row r="61" spans="2:6" hidden="1" x14ac:dyDescent="0.25">
      <c r="B61" s="89" t="s">
        <v>31</v>
      </c>
      <c r="C61" s="88" t="s">
        <v>32</v>
      </c>
      <c r="D61" s="90" t="s">
        <v>846</v>
      </c>
      <c r="F61" s="88"/>
    </row>
    <row r="62" spans="2:6" hidden="1" x14ac:dyDescent="0.25">
      <c r="B62" s="89" t="s">
        <v>704</v>
      </c>
      <c r="C62" s="277" t="s">
        <v>705</v>
      </c>
      <c r="D62" s="278" t="s">
        <v>847</v>
      </c>
      <c r="F62" s="88"/>
    </row>
    <row r="63" spans="2:6" hidden="1" x14ac:dyDescent="0.25">
      <c r="B63" s="89" t="s">
        <v>33</v>
      </c>
      <c r="C63" s="88" t="s">
        <v>34</v>
      </c>
      <c r="D63" s="90" t="s">
        <v>846</v>
      </c>
      <c r="F63" s="88"/>
    </row>
    <row r="64" spans="2:6" hidden="1" x14ac:dyDescent="0.25">
      <c r="B64" s="89" t="s">
        <v>35</v>
      </c>
      <c r="C64" s="88" t="s">
        <v>568</v>
      </c>
      <c r="D64" s="90" t="s">
        <v>846</v>
      </c>
      <c r="F64" s="88"/>
    </row>
    <row r="65" spans="2:6" hidden="1" x14ac:dyDescent="0.25">
      <c r="B65" s="89" t="s">
        <v>706</v>
      </c>
      <c r="C65" s="277" t="s">
        <v>707</v>
      </c>
      <c r="D65" s="278" t="s">
        <v>847</v>
      </c>
      <c r="F65" s="88"/>
    </row>
    <row r="66" spans="2:6" hidden="1" x14ac:dyDescent="0.25">
      <c r="B66" s="89" t="s">
        <v>36</v>
      </c>
      <c r="C66" s="88" t="s">
        <v>37</v>
      </c>
      <c r="D66" s="90" t="s">
        <v>846</v>
      </c>
      <c r="F66" s="88"/>
    </row>
    <row r="67" spans="2:6" hidden="1" x14ac:dyDescent="0.25">
      <c r="B67" s="89" t="s">
        <v>38</v>
      </c>
      <c r="C67" s="88" t="s">
        <v>39</v>
      </c>
      <c r="D67" s="90" t="s">
        <v>846</v>
      </c>
      <c r="F67" s="88"/>
    </row>
    <row r="68" spans="2:6" hidden="1" x14ac:dyDescent="0.25">
      <c r="B68" s="89" t="s">
        <v>40</v>
      </c>
      <c r="C68" s="88" t="s">
        <v>41</v>
      </c>
      <c r="D68" s="90" t="s">
        <v>846</v>
      </c>
      <c r="F68" s="88"/>
    </row>
    <row r="69" spans="2:6" hidden="1" x14ac:dyDescent="0.25">
      <c r="B69" s="89" t="s">
        <v>42</v>
      </c>
      <c r="C69" s="88" t="s">
        <v>930</v>
      </c>
      <c r="D69" s="90" t="s">
        <v>846</v>
      </c>
      <c r="F69" s="88"/>
    </row>
    <row r="70" spans="2:6" hidden="1" x14ac:dyDescent="0.25">
      <c r="B70" s="89" t="s">
        <v>43</v>
      </c>
      <c r="C70" s="88" t="s">
        <v>44</v>
      </c>
      <c r="D70" s="90" t="s">
        <v>846</v>
      </c>
      <c r="F70" s="88"/>
    </row>
    <row r="71" spans="2:6" hidden="1" x14ac:dyDescent="0.25">
      <c r="B71" s="89" t="s">
        <v>45</v>
      </c>
      <c r="C71" s="88" t="s">
        <v>46</v>
      </c>
      <c r="D71" s="90" t="s">
        <v>846</v>
      </c>
      <c r="F71" s="88"/>
    </row>
    <row r="72" spans="2:6" hidden="1" x14ac:dyDescent="0.25">
      <c r="B72" s="89" t="s">
        <v>47</v>
      </c>
      <c r="C72" s="88" t="s">
        <v>48</v>
      </c>
      <c r="D72" s="90" t="s">
        <v>846</v>
      </c>
      <c r="F72" s="88"/>
    </row>
    <row r="73" spans="2:6" hidden="1" x14ac:dyDescent="0.25">
      <c r="B73" s="89" t="s">
        <v>49</v>
      </c>
      <c r="C73" s="88" t="s">
        <v>50</v>
      </c>
      <c r="D73" s="90" t="s">
        <v>846</v>
      </c>
      <c r="F73" s="88"/>
    </row>
    <row r="74" spans="2:6" hidden="1" x14ac:dyDescent="0.25">
      <c r="B74" s="89" t="s">
        <v>708</v>
      </c>
      <c r="C74" s="277" t="s">
        <v>709</v>
      </c>
      <c r="D74" s="278" t="s">
        <v>847</v>
      </c>
      <c r="F74" s="88"/>
    </row>
    <row r="75" spans="2:6" hidden="1" x14ac:dyDescent="0.25">
      <c r="B75" s="89" t="s">
        <v>51</v>
      </c>
      <c r="C75" s="88" t="s">
        <v>52</v>
      </c>
      <c r="D75" s="90" t="s">
        <v>846</v>
      </c>
      <c r="F75" s="88"/>
    </row>
    <row r="76" spans="2:6" hidden="1" x14ac:dyDescent="0.25">
      <c r="B76" s="89" t="s">
        <v>53</v>
      </c>
      <c r="C76" s="88" t="s">
        <v>931</v>
      </c>
      <c r="D76" s="90" t="s">
        <v>846</v>
      </c>
      <c r="F76" s="88"/>
    </row>
    <row r="77" spans="2:6" hidden="1" x14ac:dyDescent="0.25">
      <c r="B77" s="89" t="s">
        <v>55</v>
      </c>
      <c r="C77" s="88" t="s">
        <v>56</v>
      </c>
      <c r="D77" s="90" t="s">
        <v>846</v>
      </c>
      <c r="F77" s="88"/>
    </row>
    <row r="78" spans="2:6" hidden="1" x14ac:dyDescent="0.25">
      <c r="B78" s="89" t="s">
        <v>824</v>
      </c>
      <c r="C78" s="277" t="s">
        <v>825</v>
      </c>
      <c r="D78" s="278" t="s">
        <v>847</v>
      </c>
      <c r="F78" s="88"/>
    </row>
    <row r="79" spans="2:6" hidden="1" x14ac:dyDescent="0.25">
      <c r="B79" s="89" t="s">
        <v>710</v>
      </c>
      <c r="C79" s="277" t="s">
        <v>711</v>
      </c>
      <c r="D79" s="278" t="s">
        <v>847</v>
      </c>
      <c r="F79" s="88"/>
    </row>
    <row r="80" spans="2:6" hidden="1" x14ac:dyDescent="0.25">
      <c r="B80" s="89" t="s">
        <v>712</v>
      </c>
      <c r="C80" s="277" t="s">
        <v>713</v>
      </c>
      <c r="D80" s="278" t="s">
        <v>847</v>
      </c>
      <c r="F80" s="88"/>
    </row>
    <row r="81" spans="2:6" hidden="1" x14ac:dyDescent="0.25">
      <c r="B81" s="89" t="s">
        <v>57</v>
      </c>
      <c r="C81" s="88" t="s">
        <v>58</v>
      </c>
      <c r="D81" s="87" t="s">
        <v>846</v>
      </c>
      <c r="F81" s="88"/>
    </row>
    <row r="82" spans="2:6" hidden="1" x14ac:dyDescent="0.25">
      <c r="B82" s="89" t="s">
        <v>59</v>
      </c>
      <c r="C82" s="88" t="s">
        <v>60</v>
      </c>
      <c r="D82" s="90" t="s">
        <v>846</v>
      </c>
      <c r="F82" s="88"/>
    </row>
    <row r="83" spans="2:6" hidden="1" x14ac:dyDescent="0.25">
      <c r="B83" s="89" t="s">
        <v>61</v>
      </c>
      <c r="C83" s="88" t="s">
        <v>62</v>
      </c>
      <c r="D83" s="90" t="s">
        <v>846</v>
      </c>
      <c r="F83" s="88"/>
    </row>
    <row r="84" spans="2:6" hidden="1" x14ac:dyDescent="0.25">
      <c r="B84" s="89" t="s">
        <v>714</v>
      </c>
      <c r="C84" s="277" t="s">
        <v>715</v>
      </c>
      <c r="D84" s="278" t="s">
        <v>847</v>
      </c>
      <c r="F84" s="88"/>
    </row>
    <row r="85" spans="2:6" hidden="1" x14ac:dyDescent="0.25">
      <c r="B85" s="89" t="s">
        <v>63</v>
      </c>
      <c r="C85" s="88" t="s">
        <v>932</v>
      </c>
      <c r="D85" s="90" t="s">
        <v>846</v>
      </c>
      <c r="F85" s="88"/>
    </row>
    <row r="86" spans="2:6" hidden="1" x14ac:dyDescent="0.25">
      <c r="B86" s="89" t="s">
        <v>569</v>
      </c>
      <c r="C86" s="88" t="s">
        <v>443</v>
      </c>
      <c r="D86" s="90" t="s">
        <v>846</v>
      </c>
      <c r="F86" s="88"/>
    </row>
    <row r="87" spans="2:6" hidden="1" x14ac:dyDescent="0.25">
      <c r="B87" s="89" t="s">
        <v>64</v>
      </c>
      <c r="C87" s="88" t="s">
        <v>65</v>
      </c>
      <c r="D87" s="90" t="s">
        <v>846</v>
      </c>
      <c r="F87" s="88"/>
    </row>
    <row r="88" spans="2:6" hidden="1" x14ac:dyDescent="0.25">
      <c r="B88" s="89" t="s">
        <v>716</v>
      </c>
      <c r="C88" s="277" t="s">
        <v>717</v>
      </c>
      <c r="D88" s="278" t="s">
        <v>847</v>
      </c>
      <c r="F88" s="88"/>
    </row>
    <row r="89" spans="2:6" hidden="1" x14ac:dyDescent="0.25">
      <c r="B89" s="89" t="s">
        <v>66</v>
      </c>
      <c r="C89" s="88" t="s">
        <v>682</v>
      </c>
      <c r="D89" s="90" t="s">
        <v>846</v>
      </c>
      <c r="F89" s="88"/>
    </row>
    <row r="90" spans="2:6" hidden="1" x14ac:dyDescent="0.25">
      <c r="B90" s="89" t="s">
        <v>67</v>
      </c>
      <c r="C90" s="88" t="s">
        <v>68</v>
      </c>
      <c r="D90" s="90" t="s">
        <v>846</v>
      </c>
      <c r="F90" s="88"/>
    </row>
    <row r="91" spans="2:6" hidden="1" x14ac:dyDescent="0.25">
      <c r="B91" s="89" t="s">
        <v>69</v>
      </c>
      <c r="C91" s="88" t="s">
        <v>70</v>
      </c>
      <c r="D91" s="90" t="s">
        <v>846</v>
      </c>
      <c r="F91" s="88"/>
    </row>
    <row r="92" spans="2:6" hidden="1" x14ac:dyDescent="0.25">
      <c r="B92" s="89" t="s">
        <v>71</v>
      </c>
      <c r="C92" s="88" t="s">
        <v>72</v>
      </c>
      <c r="D92" s="90" t="s">
        <v>846</v>
      </c>
      <c r="F92" s="88"/>
    </row>
    <row r="93" spans="2:6" hidden="1" x14ac:dyDescent="0.25">
      <c r="B93" s="89" t="s">
        <v>718</v>
      </c>
      <c r="C93" s="277" t="s">
        <v>719</v>
      </c>
      <c r="D93" s="278" t="s">
        <v>847</v>
      </c>
      <c r="F93" s="88"/>
    </row>
    <row r="94" spans="2:6" hidden="1" x14ac:dyDescent="0.25">
      <c r="B94" s="89" t="s">
        <v>722</v>
      </c>
      <c r="C94" s="277" t="s">
        <v>723</v>
      </c>
      <c r="D94" s="278" t="s">
        <v>847</v>
      </c>
      <c r="F94" s="88"/>
    </row>
    <row r="95" spans="2:6" hidden="1" x14ac:dyDescent="0.25">
      <c r="B95" s="89" t="s">
        <v>728</v>
      </c>
      <c r="C95" s="277" t="s">
        <v>729</v>
      </c>
      <c r="D95" s="278" t="s">
        <v>847</v>
      </c>
      <c r="F95" s="88"/>
    </row>
    <row r="96" spans="2:6" hidden="1" x14ac:dyDescent="0.25">
      <c r="B96" s="89" t="s">
        <v>73</v>
      </c>
      <c r="C96" s="88" t="s">
        <v>74</v>
      </c>
      <c r="D96" s="90" t="s">
        <v>846</v>
      </c>
      <c r="F96" s="88"/>
    </row>
    <row r="97" spans="2:6" hidden="1" x14ac:dyDescent="0.25">
      <c r="B97" s="89" t="s">
        <v>724</v>
      </c>
      <c r="C97" s="277" t="s">
        <v>725</v>
      </c>
      <c r="D97" s="278" t="s">
        <v>847</v>
      </c>
      <c r="F97" s="88"/>
    </row>
    <row r="98" spans="2:6" hidden="1" x14ac:dyDescent="0.25">
      <c r="B98" s="89" t="s">
        <v>75</v>
      </c>
      <c r="C98" s="88" t="s">
        <v>76</v>
      </c>
      <c r="D98" s="90" t="s">
        <v>846</v>
      </c>
      <c r="F98" s="88"/>
    </row>
    <row r="99" spans="2:6" hidden="1" x14ac:dyDescent="0.25">
      <c r="B99" s="89" t="s">
        <v>726</v>
      </c>
      <c r="C99" s="277" t="s">
        <v>727</v>
      </c>
      <c r="D99" s="278" t="s">
        <v>847</v>
      </c>
      <c r="F99" s="88"/>
    </row>
    <row r="100" spans="2:6" hidden="1" x14ac:dyDescent="0.25">
      <c r="B100" s="89" t="s">
        <v>730</v>
      </c>
      <c r="C100" s="277" t="s">
        <v>731</v>
      </c>
      <c r="D100" s="278" t="s">
        <v>847</v>
      </c>
      <c r="F100" s="88"/>
    </row>
    <row r="101" spans="2:6" hidden="1" x14ac:dyDescent="0.25">
      <c r="B101" s="89" t="s">
        <v>720</v>
      </c>
      <c r="C101" s="277" t="s">
        <v>721</v>
      </c>
      <c r="D101" s="278" t="s">
        <v>847</v>
      </c>
      <c r="F101" s="88"/>
    </row>
    <row r="102" spans="2:6" hidden="1" x14ac:dyDescent="0.25">
      <c r="B102" s="89" t="s">
        <v>732</v>
      </c>
      <c r="C102" s="277" t="s">
        <v>733</v>
      </c>
      <c r="D102" s="278" t="s">
        <v>847</v>
      </c>
      <c r="F102" s="88"/>
    </row>
    <row r="103" spans="2:6" hidden="1" x14ac:dyDescent="0.25">
      <c r="B103" s="89" t="s">
        <v>683</v>
      </c>
      <c r="C103" s="88" t="s">
        <v>684</v>
      </c>
      <c r="D103" s="90" t="s">
        <v>846</v>
      </c>
      <c r="F103" s="88"/>
    </row>
    <row r="104" spans="2:6" hidden="1" x14ac:dyDescent="0.25">
      <c r="B104" s="89" t="s">
        <v>77</v>
      </c>
      <c r="C104" s="88" t="s">
        <v>78</v>
      </c>
      <c r="D104" s="90" t="s">
        <v>846</v>
      </c>
      <c r="F104" s="88"/>
    </row>
    <row r="105" spans="2:6" hidden="1" x14ac:dyDescent="0.25">
      <c r="B105" s="89" t="s">
        <v>79</v>
      </c>
      <c r="C105" s="88" t="s">
        <v>80</v>
      </c>
      <c r="D105" s="90" t="s">
        <v>846</v>
      </c>
      <c r="F105" s="88"/>
    </row>
    <row r="106" spans="2:6" hidden="1" x14ac:dyDescent="0.25">
      <c r="B106" s="89" t="s">
        <v>734</v>
      </c>
      <c r="C106" s="277" t="s">
        <v>735</v>
      </c>
      <c r="D106" s="278" t="s">
        <v>847</v>
      </c>
      <c r="F106" s="88"/>
    </row>
    <row r="107" spans="2:6" hidden="1" x14ac:dyDescent="0.25">
      <c r="B107" s="89" t="s">
        <v>736</v>
      </c>
      <c r="C107" s="277" t="s">
        <v>737</v>
      </c>
      <c r="D107" s="278" t="s">
        <v>847</v>
      </c>
      <c r="F107" s="88"/>
    </row>
    <row r="108" spans="2:6" hidden="1" x14ac:dyDescent="0.25">
      <c r="B108" s="86" t="s">
        <v>81</v>
      </c>
      <c r="C108" s="88" t="s">
        <v>570</v>
      </c>
      <c r="D108" s="87" t="s">
        <v>846</v>
      </c>
      <c r="F108" s="88"/>
    </row>
    <row r="109" spans="2:6" hidden="1" x14ac:dyDescent="0.25">
      <c r="B109" s="89" t="s">
        <v>82</v>
      </c>
      <c r="C109" s="88" t="s">
        <v>83</v>
      </c>
      <c r="D109" s="90" t="s">
        <v>846</v>
      </c>
      <c r="F109" s="88"/>
    </row>
    <row r="110" spans="2:6" hidden="1" x14ac:dyDescent="0.25">
      <c r="B110" s="89" t="s">
        <v>84</v>
      </c>
      <c r="C110" s="88" t="s">
        <v>586</v>
      </c>
      <c r="D110" s="90" t="s">
        <v>846</v>
      </c>
      <c r="F110" s="88"/>
    </row>
    <row r="111" spans="2:6" hidden="1" x14ac:dyDescent="0.25">
      <c r="B111" s="89" t="s">
        <v>85</v>
      </c>
      <c r="C111" s="88" t="s">
        <v>86</v>
      </c>
      <c r="D111" s="90" t="s">
        <v>846</v>
      </c>
      <c r="F111" s="88"/>
    </row>
    <row r="112" spans="2:6" hidden="1" x14ac:dyDescent="0.25">
      <c r="B112" s="89" t="s">
        <v>87</v>
      </c>
      <c r="C112" s="88" t="s">
        <v>685</v>
      </c>
      <c r="D112" s="90" t="s">
        <v>846</v>
      </c>
      <c r="F112" s="88"/>
    </row>
    <row r="113" spans="2:6" hidden="1" x14ac:dyDescent="0.25">
      <c r="B113" s="89" t="s">
        <v>88</v>
      </c>
      <c r="C113" s="88" t="s">
        <v>89</v>
      </c>
      <c r="D113" s="90" t="s">
        <v>846</v>
      </c>
      <c r="F113" s="88"/>
    </row>
    <row r="114" spans="2:6" hidden="1" x14ac:dyDescent="0.25">
      <c r="B114" s="89" t="s">
        <v>90</v>
      </c>
      <c r="C114" s="88" t="s">
        <v>91</v>
      </c>
      <c r="D114" s="90" t="s">
        <v>846</v>
      </c>
      <c r="F114" s="88"/>
    </row>
    <row r="115" spans="2:6" hidden="1" x14ac:dyDescent="0.25">
      <c r="B115" s="89" t="s">
        <v>92</v>
      </c>
      <c r="C115" s="88" t="s">
        <v>93</v>
      </c>
      <c r="D115" s="90" t="s">
        <v>846</v>
      </c>
      <c r="F115" s="88"/>
    </row>
    <row r="116" spans="2:6" hidden="1" x14ac:dyDescent="0.25">
      <c r="B116" s="89" t="s">
        <v>738</v>
      </c>
      <c r="C116" s="88" t="s">
        <v>739</v>
      </c>
      <c r="D116" s="90" t="s">
        <v>847</v>
      </c>
      <c r="F116" s="88"/>
    </row>
    <row r="117" spans="2:6" hidden="1" x14ac:dyDescent="0.25">
      <c r="B117" s="89" t="s">
        <v>94</v>
      </c>
      <c r="C117" s="277" t="s">
        <v>571</v>
      </c>
      <c r="D117" s="278" t="s">
        <v>846</v>
      </c>
      <c r="F117" s="88"/>
    </row>
    <row r="118" spans="2:6" hidden="1" x14ac:dyDescent="0.25">
      <c r="B118" s="89" t="s">
        <v>95</v>
      </c>
      <c r="C118" s="88" t="s">
        <v>300</v>
      </c>
      <c r="D118" s="90" t="s">
        <v>846</v>
      </c>
      <c r="F118" s="88"/>
    </row>
    <row r="119" spans="2:6" hidden="1" x14ac:dyDescent="0.25">
      <c r="B119" s="89" t="s">
        <v>96</v>
      </c>
      <c r="C119" s="88" t="s">
        <v>97</v>
      </c>
      <c r="D119" s="90" t="s">
        <v>846</v>
      </c>
      <c r="F119" s="88"/>
    </row>
    <row r="120" spans="2:6" hidden="1" x14ac:dyDescent="0.25">
      <c r="B120" s="89" t="s">
        <v>740</v>
      </c>
      <c r="C120" s="88" t="s">
        <v>741</v>
      </c>
      <c r="D120" s="90" t="s">
        <v>847</v>
      </c>
      <c r="F120" s="88"/>
    </row>
    <row r="121" spans="2:6" hidden="1" x14ac:dyDescent="0.25">
      <c r="B121" s="89" t="s">
        <v>742</v>
      </c>
      <c r="C121" s="277" t="s">
        <v>933</v>
      </c>
      <c r="D121" s="278" t="s">
        <v>847</v>
      </c>
      <c r="F121" s="88"/>
    </row>
    <row r="122" spans="2:6" hidden="1" x14ac:dyDescent="0.25">
      <c r="B122" s="89" t="s">
        <v>98</v>
      </c>
      <c r="C122" s="277" t="s">
        <v>934</v>
      </c>
      <c r="D122" s="278" t="s">
        <v>846</v>
      </c>
      <c r="F122" s="88"/>
    </row>
    <row r="123" spans="2:6" hidden="1" x14ac:dyDescent="0.25">
      <c r="B123" s="89" t="s">
        <v>743</v>
      </c>
      <c r="C123" s="88" t="s">
        <v>744</v>
      </c>
      <c r="D123" s="90" t="s">
        <v>847</v>
      </c>
      <c r="F123" s="88"/>
    </row>
    <row r="124" spans="2:6" hidden="1" x14ac:dyDescent="0.25">
      <c r="B124" s="89" t="s">
        <v>745</v>
      </c>
      <c r="C124" s="277" t="s">
        <v>746</v>
      </c>
      <c r="D124" s="278" t="s">
        <v>847</v>
      </c>
      <c r="F124" s="88"/>
    </row>
    <row r="125" spans="2:6" hidden="1" x14ac:dyDescent="0.25">
      <c r="B125" s="89" t="s">
        <v>747</v>
      </c>
      <c r="C125" s="277" t="s">
        <v>748</v>
      </c>
      <c r="D125" s="278" t="s">
        <v>847</v>
      </c>
      <c r="F125" s="88"/>
    </row>
    <row r="126" spans="2:6" hidden="1" x14ac:dyDescent="0.25">
      <c r="B126" s="89" t="s">
        <v>99</v>
      </c>
      <c r="C126" s="277" t="s">
        <v>100</v>
      </c>
      <c r="D126" s="278" t="s">
        <v>846</v>
      </c>
      <c r="F126" s="88"/>
    </row>
    <row r="127" spans="2:6" hidden="1" x14ac:dyDescent="0.25">
      <c r="B127" s="89" t="s">
        <v>529</v>
      </c>
      <c r="C127" s="88" t="s">
        <v>530</v>
      </c>
      <c r="D127" s="90" t="s">
        <v>846</v>
      </c>
      <c r="F127" s="88"/>
    </row>
    <row r="128" spans="2:6" hidden="1" x14ac:dyDescent="0.25">
      <c r="B128" s="89" t="s">
        <v>749</v>
      </c>
      <c r="C128" s="88" t="s">
        <v>750</v>
      </c>
      <c r="D128" s="90" t="s">
        <v>847</v>
      </c>
      <c r="F128" s="88"/>
    </row>
    <row r="129" spans="2:6" hidden="1" x14ac:dyDescent="0.25">
      <c r="B129" s="89" t="s">
        <v>101</v>
      </c>
      <c r="C129" s="277" t="s">
        <v>102</v>
      </c>
      <c r="D129" s="278" t="s">
        <v>846</v>
      </c>
      <c r="F129" s="88"/>
    </row>
    <row r="130" spans="2:6" hidden="1" x14ac:dyDescent="0.25">
      <c r="B130" s="89" t="s">
        <v>103</v>
      </c>
      <c r="C130" s="88" t="s">
        <v>572</v>
      </c>
      <c r="D130" s="90" t="s">
        <v>846</v>
      </c>
      <c r="F130" s="88"/>
    </row>
    <row r="131" spans="2:6" hidden="1" x14ac:dyDescent="0.25">
      <c r="B131" s="89" t="s">
        <v>104</v>
      </c>
      <c r="C131" s="88" t="s">
        <v>691</v>
      </c>
      <c r="D131" s="90" t="s">
        <v>846</v>
      </c>
      <c r="F131" s="88"/>
    </row>
    <row r="132" spans="2:6" hidden="1" x14ac:dyDescent="0.25">
      <c r="B132" s="89" t="s">
        <v>105</v>
      </c>
      <c r="C132" s="88" t="s">
        <v>106</v>
      </c>
      <c r="D132" s="90" t="s">
        <v>846</v>
      </c>
      <c r="F132" s="88"/>
    </row>
    <row r="133" spans="2:6" hidden="1" x14ac:dyDescent="0.25">
      <c r="B133" s="89" t="s">
        <v>107</v>
      </c>
      <c r="C133" s="88" t="s">
        <v>108</v>
      </c>
      <c r="D133" s="90" t="s">
        <v>846</v>
      </c>
      <c r="F133" s="88"/>
    </row>
    <row r="134" spans="2:6" hidden="1" x14ac:dyDescent="0.25">
      <c r="B134" s="89" t="s">
        <v>109</v>
      </c>
      <c r="C134" s="88" t="s">
        <v>110</v>
      </c>
      <c r="D134" s="90" t="s">
        <v>846</v>
      </c>
      <c r="F134" s="88"/>
    </row>
    <row r="135" spans="2:6" hidden="1" x14ac:dyDescent="0.25">
      <c r="B135" s="89" t="s">
        <v>111</v>
      </c>
      <c r="C135" s="88" t="s">
        <v>112</v>
      </c>
      <c r="D135" s="90" t="s">
        <v>846</v>
      </c>
      <c r="F135" s="88"/>
    </row>
    <row r="136" spans="2:6" hidden="1" x14ac:dyDescent="0.25">
      <c r="B136" s="89" t="s">
        <v>751</v>
      </c>
      <c r="C136" s="88" t="s">
        <v>752</v>
      </c>
      <c r="D136" s="90" t="s">
        <v>847</v>
      </c>
      <c r="F136" s="88"/>
    </row>
    <row r="137" spans="2:6" hidden="1" x14ac:dyDescent="0.25">
      <c r="B137" s="89" t="s">
        <v>753</v>
      </c>
      <c r="C137" s="277" t="s">
        <v>754</v>
      </c>
      <c r="D137" s="278" t="s">
        <v>847</v>
      </c>
      <c r="F137" s="88"/>
    </row>
    <row r="138" spans="2:6" hidden="1" x14ac:dyDescent="0.25">
      <c r="B138" s="89" t="s">
        <v>826</v>
      </c>
      <c r="C138" s="277" t="s">
        <v>827</v>
      </c>
      <c r="D138" s="278" t="s">
        <v>847</v>
      </c>
      <c r="F138" s="88"/>
    </row>
    <row r="139" spans="2:6" hidden="1" x14ac:dyDescent="0.25">
      <c r="B139" s="89" t="s">
        <v>755</v>
      </c>
      <c r="C139" s="277" t="s">
        <v>756</v>
      </c>
      <c r="D139" s="278" t="s">
        <v>847</v>
      </c>
      <c r="F139" s="88"/>
    </row>
    <row r="140" spans="2:6" hidden="1" x14ac:dyDescent="0.25">
      <c r="B140" s="89" t="s">
        <v>757</v>
      </c>
      <c r="C140" s="277" t="s">
        <v>758</v>
      </c>
      <c r="D140" s="86" t="s">
        <v>847</v>
      </c>
      <c r="F140" s="88"/>
    </row>
    <row r="141" spans="2:6" hidden="1" x14ac:dyDescent="0.25">
      <c r="B141" s="89" t="s">
        <v>759</v>
      </c>
      <c r="C141" s="277" t="s">
        <v>760</v>
      </c>
      <c r="D141" s="86" t="s">
        <v>847</v>
      </c>
      <c r="F141" s="88"/>
    </row>
    <row r="142" spans="2:6" hidden="1" x14ac:dyDescent="0.25">
      <c r="B142" s="89" t="s">
        <v>113</v>
      </c>
      <c r="C142" s="277" t="s">
        <v>114</v>
      </c>
      <c r="D142" s="86" t="s">
        <v>846</v>
      </c>
      <c r="F142" s="88"/>
    </row>
    <row r="143" spans="2:6" hidden="1" x14ac:dyDescent="0.25">
      <c r="B143" s="89" t="s">
        <v>115</v>
      </c>
      <c r="C143" s="88" t="s">
        <v>573</v>
      </c>
      <c r="D143" s="86" t="s">
        <v>846</v>
      </c>
      <c r="F143" s="88"/>
    </row>
    <row r="144" spans="2:6" hidden="1" x14ac:dyDescent="0.25">
      <c r="B144" s="89" t="s">
        <v>116</v>
      </c>
      <c r="C144" s="277" t="s">
        <v>117</v>
      </c>
      <c r="D144" s="86" t="s">
        <v>846</v>
      </c>
      <c r="F144" s="88"/>
    </row>
    <row r="145" spans="2:6" hidden="1" x14ac:dyDescent="0.25">
      <c r="B145" s="89" t="s">
        <v>761</v>
      </c>
      <c r="C145" s="88" t="s">
        <v>762</v>
      </c>
      <c r="D145" s="86" t="s">
        <v>847</v>
      </c>
      <c r="F145" s="88"/>
    </row>
    <row r="146" spans="2:6" hidden="1" x14ac:dyDescent="0.25">
      <c r="B146" s="89" t="s">
        <v>118</v>
      </c>
      <c r="C146" s="88" t="s">
        <v>574</v>
      </c>
      <c r="D146" s="86" t="s">
        <v>846</v>
      </c>
      <c r="F146" s="88"/>
    </row>
    <row r="147" spans="2:6" hidden="1" x14ac:dyDescent="0.25">
      <c r="B147" s="89" t="s">
        <v>764</v>
      </c>
      <c r="C147" s="277" t="s">
        <v>765</v>
      </c>
      <c r="D147" s="86" t="s">
        <v>847</v>
      </c>
      <c r="F147" s="88"/>
    </row>
    <row r="148" spans="2:6" hidden="1" x14ac:dyDescent="0.25">
      <c r="B148" s="89" t="s">
        <v>686</v>
      </c>
      <c r="C148" s="88" t="s">
        <v>687</v>
      </c>
      <c r="D148" s="86" t="s">
        <v>846</v>
      </c>
      <c r="F148" s="88"/>
    </row>
    <row r="149" spans="2:6" hidden="1" x14ac:dyDescent="0.25">
      <c r="B149" s="89" t="s">
        <v>119</v>
      </c>
      <c r="C149" s="277" t="s">
        <v>120</v>
      </c>
      <c r="D149" s="86" t="s">
        <v>846</v>
      </c>
      <c r="F149" s="88"/>
    </row>
    <row r="150" spans="2:6" hidden="1" x14ac:dyDescent="0.25">
      <c r="B150" s="89" t="s">
        <v>575</v>
      </c>
      <c r="C150" s="88" t="s">
        <v>576</v>
      </c>
      <c r="D150" s="86" t="s">
        <v>846</v>
      </c>
      <c r="F150" s="88"/>
    </row>
    <row r="151" spans="2:6" hidden="1" x14ac:dyDescent="0.25">
      <c r="B151" s="89" t="s">
        <v>121</v>
      </c>
      <c r="C151" s="88" t="s">
        <v>122</v>
      </c>
      <c r="D151" s="86" t="s">
        <v>846</v>
      </c>
      <c r="F151" s="88"/>
    </row>
    <row r="152" spans="2:6" hidden="1" x14ac:dyDescent="0.25">
      <c r="B152" s="89" t="s">
        <v>766</v>
      </c>
      <c r="C152" s="88" t="s">
        <v>767</v>
      </c>
      <c r="D152" s="86" t="s">
        <v>847</v>
      </c>
      <c r="F152" s="88"/>
    </row>
    <row r="153" spans="2:6" hidden="1" x14ac:dyDescent="0.25">
      <c r="B153" s="89" t="s">
        <v>768</v>
      </c>
      <c r="C153" s="88" t="s">
        <v>769</v>
      </c>
      <c r="D153" s="86" t="s">
        <v>847</v>
      </c>
      <c r="F153" s="88"/>
    </row>
    <row r="154" spans="2:6" hidden="1" x14ac:dyDescent="0.25">
      <c r="B154" s="89" t="s">
        <v>123</v>
      </c>
      <c r="C154" s="88" t="s">
        <v>577</v>
      </c>
      <c r="D154" s="86" t="s">
        <v>846</v>
      </c>
      <c r="F154" s="88"/>
    </row>
    <row r="155" spans="2:6" hidden="1" x14ac:dyDescent="0.25">
      <c r="B155" s="89" t="s">
        <v>124</v>
      </c>
      <c r="C155" s="277" t="s">
        <v>125</v>
      </c>
      <c r="D155" s="86" t="s">
        <v>846</v>
      </c>
      <c r="F155" s="88"/>
    </row>
    <row r="156" spans="2:6" hidden="1" x14ac:dyDescent="0.25">
      <c r="B156" s="89" t="s">
        <v>126</v>
      </c>
      <c r="C156" s="88" t="s">
        <v>301</v>
      </c>
      <c r="D156" s="86" t="s">
        <v>846</v>
      </c>
      <c r="F156" s="88"/>
    </row>
    <row r="157" spans="2:6" hidden="1" x14ac:dyDescent="0.25">
      <c r="B157" s="89" t="s">
        <v>127</v>
      </c>
      <c r="C157" s="277" t="s">
        <v>128</v>
      </c>
      <c r="D157" s="86" t="s">
        <v>846</v>
      </c>
      <c r="F157" s="88"/>
    </row>
    <row r="158" spans="2:6" hidden="1" x14ac:dyDescent="0.25">
      <c r="B158" s="89" t="s">
        <v>129</v>
      </c>
      <c r="C158" s="88" t="s">
        <v>130</v>
      </c>
      <c r="D158" s="86" t="s">
        <v>846</v>
      </c>
      <c r="F158" s="88"/>
    </row>
    <row r="159" spans="2:6" hidden="1" x14ac:dyDescent="0.25">
      <c r="B159" s="89" t="s">
        <v>131</v>
      </c>
      <c r="C159" s="88" t="s">
        <v>935</v>
      </c>
      <c r="D159" s="86" t="s">
        <v>846</v>
      </c>
      <c r="F159" s="88"/>
    </row>
    <row r="160" spans="2:6" hidden="1" x14ac:dyDescent="0.25">
      <c r="B160" s="89" t="s">
        <v>776</v>
      </c>
      <c r="C160" s="88" t="s">
        <v>777</v>
      </c>
      <c r="D160" s="86" t="s">
        <v>847</v>
      </c>
      <c r="F160" s="88"/>
    </row>
    <row r="161" spans="2:6" hidden="1" x14ac:dyDescent="0.25">
      <c r="B161" s="89" t="s">
        <v>770</v>
      </c>
      <c r="C161" s="88" t="s">
        <v>771</v>
      </c>
      <c r="D161" s="86" t="s">
        <v>847</v>
      </c>
      <c r="F161" s="88"/>
    </row>
    <row r="162" spans="2:6" hidden="1" x14ac:dyDescent="0.25">
      <c r="B162" s="89" t="s">
        <v>782</v>
      </c>
      <c r="C162" s="88" t="s">
        <v>783</v>
      </c>
      <c r="D162" s="86" t="s">
        <v>847</v>
      </c>
      <c r="F162" s="88"/>
    </row>
    <row r="163" spans="2:6" hidden="1" x14ac:dyDescent="0.25">
      <c r="B163" s="89" t="s">
        <v>132</v>
      </c>
      <c r="C163" s="88" t="s">
        <v>133</v>
      </c>
      <c r="D163" s="86" t="s">
        <v>846</v>
      </c>
      <c r="F163" s="88"/>
    </row>
    <row r="164" spans="2:6" hidden="1" x14ac:dyDescent="0.25">
      <c r="B164" s="89" t="s">
        <v>772</v>
      </c>
      <c r="C164" s="277" t="s">
        <v>773</v>
      </c>
      <c r="D164" s="86" t="s">
        <v>847</v>
      </c>
      <c r="F164" s="88"/>
    </row>
    <row r="165" spans="2:6" hidden="1" x14ac:dyDescent="0.25">
      <c r="B165" s="89" t="s">
        <v>774</v>
      </c>
      <c r="C165" s="277" t="s">
        <v>775</v>
      </c>
      <c r="D165" s="86" t="s">
        <v>847</v>
      </c>
      <c r="F165" s="88"/>
    </row>
    <row r="166" spans="2:6" hidden="1" x14ac:dyDescent="0.25">
      <c r="B166" s="89" t="s">
        <v>784</v>
      </c>
      <c r="C166" s="277" t="s">
        <v>785</v>
      </c>
      <c r="D166" s="86" t="s">
        <v>847</v>
      </c>
      <c r="F166" s="88"/>
    </row>
    <row r="167" spans="2:6" hidden="1" x14ac:dyDescent="0.25">
      <c r="B167" s="89" t="s">
        <v>134</v>
      </c>
      <c r="C167" s="88" t="s">
        <v>302</v>
      </c>
      <c r="D167" s="86" t="s">
        <v>846</v>
      </c>
      <c r="F167" s="88"/>
    </row>
    <row r="168" spans="2:6" hidden="1" x14ac:dyDescent="0.25">
      <c r="B168" s="89" t="s">
        <v>828</v>
      </c>
      <c r="C168" s="277" t="s">
        <v>829</v>
      </c>
      <c r="D168" s="86" t="s">
        <v>847</v>
      </c>
      <c r="F168" s="88"/>
    </row>
    <row r="169" spans="2:6" hidden="1" x14ac:dyDescent="0.25">
      <c r="B169" s="89" t="s">
        <v>778</v>
      </c>
      <c r="C169" s="277" t="s">
        <v>779</v>
      </c>
      <c r="D169" s="86" t="s">
        <v>847</v>
      </c>
      <c r="F169" s="88"/>
    </row>
    <row r="170" spans="2:6" hidden="1" x14ac:dyDescent="0.25">
      <c r="B170" s="89" t="s">
        <v>135</v>
      </c>
      <c r="C170" s="277" t="s">
        <v>136</v>
      </c>
      <c r="D170" s="86" t="s">
        <v>846</v>
      </c>
      <c r="F170" s="88"/>
    </row>
    <row r="171" spans="2:6" hidden="1" x14ac:dyDescent="0.25">
      <c r="B171" s="89" t="s">
        <v>137</v>
      </c>
      <c r="C171" s="88" t="s">
        <v>936</v>
      </c>
      <c r="D171" s="86" t="s">
        <v>846</v>
      </c>
      <c r="F171" s="88"/>
    </row>
    <row r="172" spans="2:6" hidden="1" x14ac:dyDescent="0.25">
      <c r="B172" s="89" t="s">
        <v>138</v>
      </c>
      <c r="C172" s="277" t="s">
        <v>139</v>
      </c>
      <c r="D172" s="86" t="s">
        <v>846</v>
      </c>
      <c r="F172" s="88"/>
    </row>
    <row r="173" spans="2:6" hidden="1" x14ac:dyDescent="0.25">
      <c r="B173" s="89" t="s">
        <v>140</v>
      </c>
      <c r="C173" s="277" t="s">
        <v>141</v>
      </c>
      <c r="D173" s="86" t="s">
        <v>846</v>
      </c>
      <c r="F173" s="88"/>
    </row>
    <row r="174" spans="2:6" hidden="1" x14ac:dyDescent="0.25">
      <c r="B174" s="89" t="s">
        <v>142</v>
      </c>
      <c r="C174" s="88" t="s">
        <v>143</v>
      </c>
      <c r="D174" s="86" t="s">
        <v>846</v>
      </c>
      <c r="F174" s="88"/>
    </row>
    <row r="175" spans="2:6" hidden="1" x14ac:dyDescent="0.25">
      <c r="B175" s="89" t="s">
        <v>786</v>
      </c>
      <c r="C175" s="88" t="s">
        <v>787</v>
      </c>
      <c r="D175" s="86" t="s">
        <v>847</v>
      </c>
      <c r="F175" s="88"/>
    </row>
    <row r="176" spans="2:6" hidden="1" x14ac:dyDescent="0.25">
      <c r="B176" s="89" t="s">
        <v>531</v>
      </c>
      <c r="C176" s="88" t="s">
        <v>532</v>
      </c>
      <c r="D176" s="86" t="s">
        <v>846</v>
      </c>
      <c r="F176" s="88"/>
    </row>
    <row r="177" spans="2:6" hidden="1" x14ac:dyDescent="0.25">
      <c r="B177" s="89" t="s">
        <v>780</v>
      </c>
      <c r="C177" s="88" t="s">
        <v>781</v>
      </c>
      <c r="D177" s="86" t="s">
        <v>847</v>
      </c>
      <c r="F177" s="88"/>
    </row>
    <row r="178" spans="2:6" hidden="1" x14ac:dyDescent="0.25">
      <c r="B178" s="89" t="s">
        <v>763</v>
      </c>
      <c r="C178" s="88" t="s">
        <v>937</v>
      </c>
      <c r="D178" s="86" t="s">
        <v>847</v>
      </c>
      <c r="F178" s="88"/>
    </row>
    <row r="179" spans="2:6" hidden="1" x14ac:dyDescent="0.25">
      <c r="B179" s="89" t="s">
        <v>144</v>
      </c>
      <c r="C179" s="277" t="s">
        <v>145</v>
      </c>
      <c r="D179" s="86" t="s">
        <v>846</v>
      </c>
      <c r="F179" s="88"/>
    </row>
    <row r="180" spans="2:6" hidden="1" x14ac:dyDescent="0.25">
      <c r="B180" s="89" t="s">
        <v>555</v>
      </c>
      <c r="C180" s="88" t="s">
        <v>556</v>
      </c>
      <c r="D180" s="86" t="s">
        <v>846</v>
      </c>
      <c r="F180" s="88"/>
    </row>
    <row r="181" spans="2:6" hidden="1" x14ac:dyDescent="0.25">
      <c r="B181" s="89" t="s">
        <v>146</v>
      </c>
      <c r="C181" s="277" t="s">
        <v>147</v>
      </c>
      <c r="D181" s="86" t="s">
        <v>846</v>
      </c>
      <c r="F181" s="88"/>
    </row>
    <row r="182" spans="2:6" hidden="1" x14ac:dyDescent="0.25">
      <c r="B182" s="89" t="s">
        <v>148</v>
      </c>
      <c r="C182" s="277" t="s">
        <v>873</v>
      </c>
      <c r="D182" s="86" t="s">
        <v>846</v>
      </c>
      <c r="F182" s="88"/>
    </row>
    <row r="183" spans="2:6" hidden="1" x14ac:dyDescent="0.25">
      <c r="B183" s="89" t="s">
        <v>788</v>
      </c>
      <c r="C183" s="88" t="s">
        <v>789</v>
      </c>
      <c r="D183" s="86" t="s">
        <v>847</v>
      </c>
      <c r="F183" s="88"/>
    </row>
    <row r="184" spans="2:6" hidden="1" x14ac:dyDescent="0.25">
      <c r="B184" s="89" t="s">
        <v>149</v>
      </c>
      <c r="C184" s="88" t="s">
        <v>150</v>
      </c>
      <c r="D184" s="86" t="s">
        <v>846</v>
      </c>
      <c r="F184" s="88"/>
    </row>
    <row r="185" spans="2:6" hidden="1" x14ac:dyDescent="0.25">
      <c r="B185" s="89" t="s">
        <v>151</v>
      </c>
      <c r="C185" s="88" t="s">
        <v>688</v>
      </c>
      <c r="D185" s="86" t="s">
        <v>846</v>
      </c>
      <c r="F185" s="88"/>
    </row>
    <row r="186" spans="2:6" hidden="1" x14ac:dyDescent="0.25">
      <c r="B186" s="89" t="s">
        <v>790</v>
      </c>
      <c r="C186" s="88" t="s">
        <v>938</v>
      </c>
      <c r="D186" s="86" t="s">
        <v>847</v>
      </c>
      <c r="F186" s="88"/>
    </row>
    <row r="187" spans="2:6" hidden="1" x14ac:dyDescent="0.25">
      <c r="B187" s="89" t="s">
        <v>152</v>
      </c>
      <c r="C187" s="277" t="s">
        <v>153</v>
      </c>
      <c r="D187" s="86" t="s">
        <v>846</v>
      </c>
      <c r="F187" s="88"/>
    </row>
    <row r="188" spans="2:6" hidden="1" x14ac:dyDescent="0.25">
      <c r="B188" s="89" t="s">
        <v>791</v>
      </c>
      <c r="C188" s="88" t="s">
        <v>792</v>
      </c>
      <c r="D188" s="86" t="s">
        <v>847</v>
      </c>
      <c r="F188" s="88"/>
    </row>
    <row r="189" spans="2:6" hidden="1" x14ac:dyDescent="0.25">
      <c r="B189" s="89" t="s">
        <v>816</v>
      </c>
      <c r="C189" s="88" t="s">
        <v>817</v>
      </c>
      <c r="D189" s="86" t="s">
        <v>847</v>
      </c>
      <c r="F189" s="88"/>
    </row>
    <row r="190" spans="2:6" hidden="1" x14ac:dyDescent="0.25">
      <c r="B190" s="89" t="s">
        <v>154</v>
      </c>
      <c r="C190" s="277" t="s">
        <v>155</v>
      </c>
      <c r="D190" s="86" t="s">
        <v>846</v>
      </c>
      <c r="F190" s="88"/>
    </row>
    <row r="191" spans="2:6" hidden="1" x14ac:dyDescent="0.25">
      <c r="B191" s="89" t="s">
        <v>156</v>
      </c>
      <c r="C191" s="88" t="s">
        <v>578</v>
      </c>
      <c r="D191" s="86" t="s">
        <v>846</v>
      </c>
      <c r="F191" s="88"/>
    </row>
    <row r="192" spans="2:6" hidden="1" x14ac:dyDescent="0.25">
      <c r="B192" s="89" t="s">
        <v>54</v>
      </c>
      <c r="C192" s="89" t="s">
        <v>157</v>
      </c>
      <c r="D192" s="86" t="s">
        <v>846</v>
      </c>
    </row>
    <row r="193" spans="2:4" hidden="1" x14ac:dyDescent="0.25">
      <c r="B193" s="89" t="s">
        <v>158</v>
      </c>
      <c r="C193" s="89" t="s">
        <v>303</v>
      </c>
      <c r="D193" s="86" t="s">
        <v>846</v>
      </c>
    </row>
    <row r="194" spans="2:4" hidden="1" x14ac:dyDescent="0.25">
      <c r="B194" s="89" t="s">
        <v>797</v>
      </c>
      <c r="C194" s="86" t="s">
        <v>798</v>
      </c>
      <c r="D194" s="86" t="s">
        <v>847</v>
      </c>
    </row>
    <row r="195" spans="2:4" hidden="1" x14ac:dyDescent="0.25">
      <c r="B195" s="89" t="s">
        <v>159</v>
      </c>
      <c r="C195" s="86" t="s">
        <v>160</v>
      </c>
      <c r="D195" s="86" t="s">
        <v>846</v>
      </c>
    </row>
    <row r="196" spans="2:4" hidden="1" x14ac:dyDescent="0.25">
      <c r="B196" s="89" t="s">
        <v>161</v>
      </c>
      <c r="C196" s="86" t="s">
        <v>162</v>
      </c>
      <c r="D196" s="86" t="s">
        <v>846</v>
      </c>
    </row>
    <row r="197" spans="2:4" hidden="1" x14ac:dyDescent="0.25">
      <c r="B197" s="89" t="s">
        <v>163</v>
      </c>
      <c r="C197" s="86" t="s">
        <v>164</v>
      </c>
      <c r="D197" s="86" t="s">
        <v>846</v>
      </c>
    </row>
    <row r="198" spans="2:4" hidden="1" x14ac:dyDescent="0.25">
      <c r="B198" s="89" t="s">
        <v>167</v>
      </c>
      <c r="C198" s="89" t="s">
        <v>168</v>
      </c>
      <c r="D198" s="86" t="s">
        <v>846</v>
      </c>
    </row>
    <row r="199" spans="2:4" hidden="1" x14ac:dyDescent="0.25">
      <c r="B199" s="89" t="s">
        <v>793</v>
      </c>
      <c r="C199" s="86" t="s">
        <v>794</v>
      </c>
      <c r="D199" s="86" t="s">
        <v>847</v>
      </c>
    </row>
    <row r="200" spans="2:4" hidden="1" x14ac:dyDescent="0.25">
      <c r="B200" s="89" t="s">
        <v>165</v>
      </c>
      <c r="C200" s="86" t="s">
        <v>166</v>
      </c>
      <c r="D200" s="86" t="s">
        <v>846</v>
      </c>
    </row>
    <row r="201" spans="2:4" hidden="1" x14ac:dyDescent="0.25">
      <c r="B201" s="89" t="s">
        <v>795</v>
      </c>
      <c r="C201" s="86" t="s">
        <v>796</v>
      </c>
      <c r="D201" s="86" t="s">
        <v>847</v>
      </c>
    </row>
    <row r="202" spans="2:4" hidden="1" x14ac:dyDescent="0.25">
      <c r="B202" s="89" t="s">
        <v>169</v>
      </c>
      <c r="C202" s="86" t="s">
        <v>170</v>
      </c>
      <c r="D202" s="86" t="s">
        <v>846</v>
      </c>
    </row>
    <row r="203" spans="2:4" hidden="1" x14ac:dyDescent="0.25">
      <c r="B203" s="89" t="s">
        <v>171</v>
      </c>
      <c r="C203" s="89" t="s">
        <v>172</v>
      </c>
      <c r="D203" s="86" t="s">
        <v>846</v>
      </c>
    </row>
    <row r="204" spans="2:4" hidden="1" x14ac:dyDescent="0.25">
      <c r="B204" s="89" t="s">
        <v>441</v>
      </c>
      <c r="C204" s="86" t="s">
        <v>442</v>
      </c>
      <c r="D204" s="86" t="s">
        <v>846</v>
      </c>
    </row>
    <row r="205" spans="2:4" hidden="1" x14ac:dyDescent="0.25">
      <c r="B205" s="89" t="s">
        <v>173</v>
      </c>
      <c r="C205" s="89" t="s">
        <v>174</v>
      </c>
      <c r="D205" s="86" t="s">
        <v>846</v>
      </c>
    </row>
    <row r="206" spans="2:4" hidden="1" x14ac:dyDescent="0.25">
      <c r="B206" s="86" t="s">
        <v>175</v>
      </c>
      <c r="C206" s="86" t="s">
        <v>176</v>
      </c>
      <c r="D206" s="86" t="s">
        <v>846</v>
      </c>
    </row>
    <row r="207" spans="2:4" hidden="1" x14ac:dyDescent="0.25">
      <c r="B207" s="89" t="s">
        <v>799</v>
      </c>
      <c r="C207" s="86" t="s">
        <v>800</v>
      </c>
      <c r="D207" s="86" t="s">
        <v>847</v>
      </c>
    </row>
    <row r="208" spans="2:4" hidden="1" x14ac:dyDescent="0.25">
      <c r="B208" s="89" t="s">
        <v>177</v>
      </c>
      <c r="C208" s="86" t="s">
        <v>681</v>
      </c>
      <c r="D208" s="86" t="s">
        <v>846</v>
      </c>
    </row>
    <row r="209" spans="2:4" hidden="1" x14ac:dyDescent="0.25">
      <c r="B209" s="89" t="s">
        <v>178</v>
      </c>
      <c r="C209" s="86" t="s">
        <v>179</v>
      </c>
      <c r="D209" s="86" t="s">
        <v>846</v>
      </c>
    </row>
    <row r="210" spans="2:4" hidden="1" x14ac:dyDescent="0.25">
      <c r="B210" s="89" t="s">
        <v>180</v>
      </c>
      <c r="C210" s="86" t="s">
        <v>181</v>
      </c>
      <c r="D210" s="86" t="s">
        <v>846</v>
      </c>
    </row>
    <row r="211" spans="2:4" hidden="1" x14ac:dyDescent="0.25">
      <c r="B211" s="89" t="s">
        <v>182</v>
      </c>
      <c r="C211" s="89" t="s">
        <v>183</v>
      </c>
      <c r="D211" s="86" t="s">
        <v>846</v>
      </c>
    </row>
    <row r="212" spans="2:4" hidden="1" x14ac:dyDescent="0.25">
      <c r="B212" s="89" t="s">
        <v>184</v>
      </c>
      <c r="C212" s="86" t="s">
        <v>185</v>
      </c>
      <c r="D212" s="86" t="s">
        <v>846</v>
      </c>
    </row>
    <row r="213" spans="2:4" hidden="1" x14ac:dyDescent="0.25">
      <c r="B213" s="89" t="s">
        <v>186</v>
      </c>
      <c r="C213" s="86" t="s">
        <v>187</v>
      </c>
      <c r="D213" s="86" t="s">
        <v>846</v>
      </c>
    </row>
    <row r="214" spans="2:4" hidden="1" x14ac:dyDescent="0.25">
      <c r="B214" s="89" t="s">
        <v>188</v>
      </c>
      <c r="C214" s="86" t="s">
        <v>189</v>
      </c>
      <c r="D214" s="86" t="s">
        <v>846</v>
      </c>
    </row>
    <row r="215" spans="2:4" hidden="1" x14ac:dyDescent="0.25">
      <c r="B215" s="89" t="s">
        <v>801</v>
      </c>
      <c r="C215" s="86" t="s">
        <v>802</v>
      </c>
      <c r="D215" s="86" t="s">
        <v>847</v>
      </c>
    </row>
    <row r="216" spans="2:4" hidden="1" x14ac:dyDescent="0.25">
      <c r="B216" s="89" t="s">
        <v>803</v>
      </c>
      <c r="C216" s="86" t="s">
        <v>804</v>
      </c>
      <c r="D216" s="86" t="s">
        <v>847</v>
      </c>
    </row>
    <row r="217" spans="2:4" hidden="1" x14ac:dyDescent="0.25">
      <c r="B217" s="89" t="s">
        <v>190</v>
      </c>
      <c r="C217" s="86" t="s">
        <v>191</v>
      </c>
      <c r="D217" s="86" t="s">
        <v>846</v>
      </c>
    </row>
    <row r="218" spans="2:4" hidden="1" x14ac:dyDescent="0.25">
      <c r="B218" s="89" t="s">
        <v>805</v>
      </c>
      <c r="C218" s="86" t="s">
        <v>806</v>
      </c>
      <c r="D218" s="86" t="s">
        <v>847</v>
      </c>
    </row>
    <row r="219" spans="2:4" hidden="1" x14ac:dyDescent="0.25">
      <c r="B219" s="89" t="s">
        <v>192</v>
      </c>
      <c r="C219" s="89" t="s">
        <v>193</v>
      </c>
      <c r="D219" s="86" t="s">
        <v>846</v>
      </c>
    </row>
    <row r="220" spans="2:4" hidden="1" x14ac:dyDescent="0.25">
      <c r="B220" s="89" t="s">
        <v>197</v>
      </c>
      <c r="C220" s="89" t="s">
        <v>304</v>
      </c>
      <c r="D220" s="86" t="s">
        <v>846</v>
      </c>
    </row>
    <row r="221" spans="2:4" hidden="1" x14ac:dyDescent="0.25">
      <c r="B221" s="89" t="s">
        <v>194</v>
      </c>
      <c r="C221" s="86" t="s">
        <v>579</v>
      </c>
      <c r="D221" s="86" t="s">
        <v>846</v>
      </c>
    </row>
    <row r="222" spans="2:4" hidden="1" x14ac:dyDescent="0.25">
      <c r="B222" s="89" t="s">
        <v>195</v>
      </c>
      <c r="C222" s="89" t="s">
        <v>196</v>
      </c>
      <c r="D222" s="86" t="s">
        <v>846</v>
      </c>
    </row>
    <row r="223" spans="2:4" hidden="1" x14ac:dyDescent="0.25">
      <c r="B223" s="89" t="s">
        <v>809</v>
      </c>
      <c r="C223" s="86" t="s">
        <v>810</v>
      </c>
      <c r="D223" s="86" t="s">
        <v>847</v>
      </c>
    </row>
    <row r="224" spans="2:4" hidden="1" x14ac:dyDescent="0.25">
      <c r="B224" s="89" t="s">
        <v>198</v>
      </c>
      <c r="C224" s="86" t="s">
        <v>939</v>
      </c>
      <c r="D224" s="86" t="s">
        <v>846</v>
      </c>
    </row>
    <row r="225" spans="2:4" hidden="1" x14ac:dyDescent="0.25">
      <c r="B225" s="89" t="s">
        <v>199</v>
      </c>
      <c r="C225" s="86" t="s">
        <v>200</v>
      </c>
      <c r="D225" s="86" t="s">
        <v>846</v>
      </c>
    </row>
    <row r="226" spans="2:4" hidden="1" x14ac:dyDescent="0.25">
      <c r="B226" s="89" t="s">
        <v>201</v>
      </c>
      <c r="C226" s="86" t="s">
        <v>202</v>
      </c>
      <c r="D226" s="86" t="s">
        <v>846</v>
      </c>
    </row>
    <row r="227" spans="2:4" hidden="1" x14ac:dyDescent="0.25">
      <c r="B227" s="89" t="s">
        <v>812</v>
      </c>
      <c r="C227" s="89" t="s">
        <v>813</v>
      </c>
      <c r="D227" s="86" t="s">
        <v>847</v>
      </c>
    </row>
    <row r="228" spans="2:4" hidden="1" x14ac:dyDescent="0.25">
      <c r="B228" s="89" t="s">
        <v>559</v>
      </c>
      <c r="C228" s="86" t="s">
        <v>690</v>
      </c>
      <c r="D228" s="86" t="s">
        <v>846</v>
      </c>
    </row>
    <row r="229" spans="2:4" hidden="1" x14ac:dyDescent="0.25">
      <c r="B229" s="89" t="s">
        <v>811</v>
      </c>
      <c r="C229" s="86" t="s">
        <v>940</v>
      </c>
      <c r="D229" s="86" t="s">
        <v>847</v>
      </c>
    </row>
    <row r="230" spans="2:4" hidden="1" x14ac:dyDescent="0.25">
      <c r="B230" s="89" t="s">
        <v>203</v>
      </c>
      <c r="C230" s="86" t="s">
        <v>204</v>
      </c>
      <c r="D230" s="86" t="s">
        <v>846</v>
      </c>
    </row>
    <row r="231" spans="2:4" hidden="1" x14ac:dyDescent="0.25">
      <c r="B231" s="89" t="s">
        <v>205</v>
      </c>
      <c r="C231" s="89" t="s">
        <v>206</v>
      </c>
      <c r="D231" s="86" t="s">
        <v>846</v>
      </c>
    </row>
    <row r="232" spans="2:4" hidden="1" x14ac:dyDescent="0.25">
      <c r="B232" s="89" t="s">
        <v>207</v>
      </c>
      <c r="C232" s="86" t="s">
        <v>208</v>
      </c>
      <c r="D232" s="86" t="s">
        <v>846</v>
      </c>
    </row>
    <row r="233" spans="2:4" hidden="1" x14ac:dyDescent="0.25">
      <c r="B233" s="89" t="s">
        <v>814</v>
      </c>
      <c r="C233" s="89" t="s">
        <v>815</v>
      </c>
      <c r="D233" s="86" t="s">
        <v>847</v>
      </c>
    </row>
    <row r="234" spans="2:4" hidden="1" x14ac:dyDescent="0.25">
      <c r="B234" s="89" t="s">
        <v>580</v>
      </c>
      <c r="C234" s="86" t="s">
        <v>581</v>
      </c>
      <c r="D234" s="86" t="s">
        <v>846</v>
      </c>
    </row>
    <row r="235" spans="2:4" hidden="1" x14ac:dyDescent="0.25">
      <c r="B235" s="89" t="s">
        <v>209</v>
      </c>
      <c r="C235" s="86" t="s">
        <v>210</v>
      </c>
      <c r="D235" s="86" t="s">
        <v>846</v>
      </c>
    </row>
    <row r="236" spans="2:4" hidden="1" x14ac:dyDescent="0.25">
      <c r="B236" s="89" t="s">
        <v>211</v>
      </c>
      <c r="C236" s="86" t="s">
        <v>212</v>
      </c>
      <c r="D236" s="86" t="s">
        <v>846</v>
      </c>
    </row>
    <row r="237" spans="2:4" hidden="1" x14ac:dyDescent="0.25">
      <c r="B237" s="89" t="s">
        <v>213</v>
      </c>
      <c r="C237" s="89" t="s">
        <v>214</v>
      </c>
      <c r="D237" s="86" t="s">
        <v>846</v>
      </c>
    </row>
    <row r="238" spans="2:4" hidden="1" x14ac:dyDescent="0.25">
      <c r="B238" s="89" t="s">
        <v>807</v>
      </c>
      <c r="C238" s="86" t="s">
        <v>808</v>
      </c>
      <c r="D238" s="86" t="s">
        <v>847</v>
      </c>
    </row>
    <row r="239" spans="2:4" hidden="1" x14ac:dyDescent="0.25">
      <c r="B239" s="89" t="s">
        <v>215</v>
      </c>
      <c r="C239" s="86" t="s">
        <v>216</v>
      </c>
      <c r="D239" s="86" t="s">
        <v>846</v>
      </c>
    </row>
    <row r="240" spans="2:4" hidden="1" x14ac:dyDescent="0.25">
      <c r="B240" s="89" t="s">
        <v>217</v>
      </c>
      <c r="C240" s="86" t="s">
        <v>582</v>
      </c>
      <c r="D240" s="86" t="s">
        <v>846</v>
      </c>
    </row>
    <row r="241" spans="2:4" hidden="1" x14ac:dyDescent="0.25">
      <c r="B241" s="89" t="s">
        <v>218</v>
      </c>
      <c r="C241" s="86" t="s">
        <v>583</v>
      </c>
      <c r="D241" s="86" t="s">
        <v>846</v>
      </c>
    </row>
    <row r="242" spans="2:4" hidden="1" x14ac:dyDescent="0.25">
      <c r="B242" s="89" t="s">
        <v>219</v>
      </c>
      <c r="C242" s="89" t="s">
        <v>220</v>
      </c>
      <c r="D242" s="86" t="s">
        <v>846</v>
      </c>
    </row>
    <row r="243" spans="2:4" hidden="1" x14ac:dyDescent="0.25">
      <c r="B243" s="89" t="s">
        <v>221</v>
      </c>
      <c r="C243" s="86" t="s">
        <v>222</v>
      </c>
      <c r="D243" s="86" t="s">
        <v>846</v>
      </c>
    </row>
    <row r="244" spans="2:4" hidden="1" x14ac:dyDescent="0.25">
      <c r="B244" s="89" t="s">
        <v>223</v>
      </c>
      <c r="C244" s="86" t="s">
        <v>224</v>
      </c>
      <c r="D244" s="86" t="s">
        <v>846</v>
      </c>
    </row>
    <row r="245" spans="2:4" hidden="1" x14ac:dyDescent="0.25">
      <c r="B245" s="89" t="s">
        <v>225</v>
      </c>
      <c r="C245" s="86" t="s">
        <v>226</v>
      </c>
      <c r="D245" s="86" t="s">
        <v>846</v>
      </c>
    </row>
    <row r="246" spans="2:4" hidden="1" x14ac:dyDescent="0.25">
      <c r="B246" s="89" t="s">
        <v>822</v>
      </c>
      <c r="C246" s="86" t="s">
        <v>823</v>
      </c>
      <c r="D246" s="86" t="s">
        <v>847</v>
      </c>
    </row>
    <row r="247" spans="2:4" hidden="1" x14ac:dyDescent="0.25">
      <c r="B247" s="89" t="s">
        <v>830</v>
      </c>
      <c r="C247" s="86" t="s">
        <v>831</v>
      </c>
      <c r="D247" s="86" t="s">
        <v>847</v>
      </c>
    </row>
    <row r="248" spans="2:4" hidden="1" x14ac:dyDescent="0.25">
      <c r="B248" s="89" t="s">
        <v>227</v>
      </c>
      <c r="C248" s="86" t="s">
        <v>228</v>
      </c>
      <c r="D248" s="86" t="s">
        <v>846</v>
      </c>
    </row>
    <row r="249" spans="2:4" hidden="1" x14ac:dyDescent="0.25">
      <c r="B249" s="89" t="s">
        <v>229</v>
      </c>
      <c r="C249" s="86" t="s">
        <v>230</v>
      </c>
      <c r="D249" s="86" t="s">
        <v>846</v>
      </c>
    </row>
    <row r="250" spans="2:4" hidden="1" x14ac:dyDescent="0.25">
      <c r="B250" s="89" t="s">
        <v>233</v>
      </c>
      <c r="C250" s="86" t="s">
        <v>306</v>
      </c>
      <c r="D250" s="86" t="s">
        <v>846</v>
      </c>
    </row>
    <row r="251" spans="2:4" hidden="1" x14ac:dyDescent="0.25">
      <c r="B251" s="89" t="s">
        <v>832</v>
      </c>
      <c r="C251" s="89" t="s">
        <v>833</v>
      </c>
      <c r="D251" s="86" t="s">
        <v>847</v>
      </c>
    </row>
    <row r="252" spans="2:4" hidden="1" x14ac:dyDescent="0.25">
      <c r="B252" s="89" t="s">
        <v>834</v>
      </c>
      <c r="C252" s="89" t="s">
        <v>941</v>
      </c>
      <c r="D252" s="86" t="s">
        <v>847</v>
      </c>
    </row>
    <row r="253" spans="2:4" hidden="1" x14ac:dyDescent="0.25">
      <c r="B253" s="89" t="s">
        <v>231</v>
      </c>
      <c r="C253" s="86" t="s">
        <v>942</v>
      </c>
      <c r="D253" s="86" t="s">
        <v>846</v>
      </c>
    </row>
    <row r="254" spans="2:4" hidden="1" x14ac:dyDescent="0.25">
      <c r="B254" s="89" t="s">
        <v>835</v>
      </c>
      <c r="C254" s="86" t="s">
        <v>836</v>
      </c>
      <c r="D254" s="86" t="s">
        <v>847</v>
      </c>
    </row>
    <row r="255" spans="2:4" hidden="1" x14ac:dyDescent="0.25">
      <c r="B255" s="89" t="s">
        <v>232</v>
      </c>
      <c r="C255" s="86" t="s">
        <v>305</v>
      </c>
      <c r="D255" s="86" t="s">
        <v>846</v>
      </c>
    </row>
    <row r="256" spans="2:4" hidden="1" x14ac:dyDescent="0.25">
      <c r="B256" s="89" t="s">
        <v>820</v>
      </c>
      <c r="C256" s="89" t="s">
        <v>821</v>
      </c>
      <c r="D256" s="86" t="s">
        <v>847</v>
      </c>
    </row>
    <row r="257" spans="2:4" hidden="1" x14ac:dyDescent="0.25">
      <c r="B257" s="89" t="s">
        <v>234</v>
      </c>
      <c r="C257" s="89" t="s">
        <v>235</v>
      </c>
      <c r="D257" s="86" t="s">
        <v>846</v>
      </c>
    </row>
    <row r="258" spans="2:4" hidden="1" x14ac:dyDescent="0.25">
      <c r="B258" s="89" t="s">
        <v>236</v>
      </c>
      <c r="C258" s="86" t="s">
        <v>237</v>
      </c>
      <c r="D258" s="86" t="s">
        <v>846</v>
      </c>
    </row>
    <row r="259" spans="2:4" hidden="1" x14ac:dyDescent="0.25">
      <c r="B259" s="89" t="s">
        <v>584</v>
      </c>
      <c r="C259" s="89" t="s">
        <v>585</v>
      </c>
      <c r="D259" s="86" t="s">
        <v>846</v>
      </c>
    </row>
    <row r="260" spans="2:4" hidden="1" x14ac:dyDescent="0.25">
      <c r="B260" s="89" t="s">
        <v>818</v>
      </c>
      <c r="C260" s="86" t="s">
        <v>819</v>
      </c>
      <c r="D260" s="86" t="s">
        <v>847</v>
      </c>
    </row>
    <row r="261" spans="2:4" hidden="1" x14ac:dyDescent="0.25">
      <c r="B261" s="89" t="s">
        <v>837</v>
      </c>
      <c r="C261" s="89" t="s">
        <v>838</v>
      </c>
      <c r="D261" s="86" t="s">
        <v>847</v>
      </c>
    </row>
    <row r="262" spans="2:4" hidden="1" x14ac:dyDescent="0.25">
      <c r="B262" s="89" t="s">
        <v>839</v>
      </c>
      <c r="C262" s="86" t="s">
        <v>840</v>
      </c>
      <c r="D262" s="86" t="s">
        <v>847</v>
      </c>
    </row>
    <row r="263" spans="2:4" hidden="1" x14ac:dyDescent="0.25">
      <c r="B263" s="89" t="s">
        <v>841</v>
      </c>
      <c r="C263" s="86" t="s">
        <v>842</v>
      </c>
      <c r="D263" s="86" t="s">
        <v>847</v>
      </c>
    </row>
    <row r="264" spans="2:4" hidden="1" x14ac:dyDescent="0.25">
      <c r="B264" s="89" t="s">
        <v>238</v>
      </c>
      <c r="C264" s="86" t="s">
        <v>239</v>
      </c>
      <c r="D264" s="86" t="s">
        <v>846</v>
      </c>
    </row>
    <row r="265" spans="2:4" hidden="1" x14ac:dyDescent="0.25">
      <c r="B265" s="89" t="s">
        <v>240</v>
      </c>
      <c r="C265" s="89" t="s">
        <v>241</v>
      </c>
      <c r="D265" s="86" t="s">
        <v>846</v>
      </c>
    </row>
    <row r="266" spans="2:4" hidden="1" x14ac:dyDescent="0.25">
      <c r="B266" s="89" t="s">
        <v>843</v>
      </c>
      <c r="C266" s="89" t="s">
        <v>844</v>
      </c>
      <c r="D266" s="86" t="s">
        <v>847</v>
      </c>
    </row>
  </sheetData>
  <sortState ref="B36:D266">
    <sortCondition ref="B36"/>
  </sortState>
  <customSheetViews>
    <customSheetView guid="{EDC1BD6E-863A-4FC6-A3A9-F32079F4F0C1}" showGridLines="0" hiddenRows="1">
      <selection activeCell="C28" sqref="C28"/>
      <pageMargins left="0.7" right="0.7" top="0.75" bottom="0.75" header="0.3" footer="0.3"/>
      <pageSetup paperSize="9" orientation="portrait" verticalDpi="0" r:id="rId1"/>
      <headerFooter>
        <oddHeader>&amp;LINSERT YOUR NHS Foundation Trust&amp;RStatement of accounts 2014/15</oddHeader>
      </headerFooter>
    </customSheetView>
  </customSheetViews>
  <mergeCells count="2">
    <mergeCell ref="B2:C2"/>
    <mergeCell ref="B26:C26"/>
  </mergeCells>
  <dataValidations count="1">
    <dataValidation type="list" allowBlank="1" showInputMessage="1" showErrorMessage="1" sqref="C6">
      <formula1>$B$36:$B$266</formula1>
    </dataValidation>
  </dataValidations>
  <pageMargins left="0.7" right="0.7" top="0.75" bottom="0.75" header="0.3" footer="0.3"/>
  <pageSetup paperSize="9" orientation="portrait" verticalDpi="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O65"/>
  <sheetViews>
    <sheetView topLeftCell="A5" zoomScaleNormal="100" workbookViewId="0">
      <selection activeCell="B30" sqref="B30:F32"/>
    </sheetView>
  </sheetViews>
  <sheetFormatPr defaultColWidth="9.109375" defaultRowHeight="14.1" customHeight="1" x14ac:dyDescent="0.2"/>
  <cols>
    <col min="1" max="1" width="1.88671875" style="51" customWidth="1"/>
    <col min="2" max="2" width="62.5546875" style="13" customWidth="1"/>
    <col min="3" max="3" width="8.6640625" style="3" customWidth="1"/>
    <col min="4" max="4" width="2.6640625" style="2" customWidth="1"/>
    <col min="5" max="5" width="8.6640625" style="255" customWidth="1"/>
    <col min="6" max="16384" width="9.109375" style="3"/>
  </cols>
  <sheetData>
    <row r="1" spans="1:15" ht="13.95" customHeight="1" x14ac:dyDescent="0.25">
      <c r="A1" s="51">
        <f>'Op Inc'!A23+0.1</f>
        <v>2.3000000000000003</v>
      </c>
      <c r="B1" s="123" t="str">
        <f>"Note " &amp;A1 &amp; " Overseas visitors (relating to patients charged directly by the provider)"</f>
        <v>Note 2.3 Overseas visitors (relating to patients charged directly by the provider)</v>
      </c>
    </row>
    <row r="2" spans="1:15" s="255" customFormat="1" ht="31.95" customHeight="1" x14ac:dyDescent="0.25">
      <c r="A2" s="256"/>
      <c r="B2" s="781"/>
      <c r="D2" s="445"/>
    </row>
    <row r="3" spans="1:15" s="18" customFormat="1" ht="14.1" customHeight="1" x14ac:dyDescent="0.25">
      <c r="A3" s="52"/>
      <c r="C3" s="113" t="str">
        <f>CurrentFY</f>
        <v>2018/19</v>
      </c>
      <c r="D3" s="113"/>
      <c r="E3" s="624" t="str">
        <f>ComparativeFY</f>
        <v>2017/18</v>
      </c>
    </row>
    <row r="4" spans="1:15" s="18" customFormat="1" ht="14.1" customHeight="1" x14ac:dyDescent="0.25">
      <c r="A4" s="52"/>
      <c r="B4" s="676"/>
      <c r="C4" s="741" t="s">
        <v>283</v>
      </c>
      <c r="D4" s="741"/>
      <c r="E4" s="742" t="s">
        <v>283</v>
      </c>
      <c r="F4" s="676"/>
    </row>
    <row r="5" spans="1:15" s="18" customFormat="1" ht="14.25" customHeight="1" x14ac:dyDescent="0.2">
      <c r="A5" s="52"/>
      <c r="B5" s="164" t="s">
        <v>320</v>
      </c>
      <c r="C5" s="247">
        <v>240</v>
      </c>
      <c r="D5" s="247"/>
      <c r="E5" s="627">
        <v>236</v>
      </c>
      <c r="F5" s="676"/>
    </row>
    <row r="6" spans="1:15" s="18" customFormat="1" ht="14.25" customHeight="1" x14ac:dyDescent="0.2">
      <c r="A6" s="52"/>
      <c r="B6" s="164" t="s">
        <v>323</v>
      </c>
      <c r="C6" s="247">
        <v>211</v>
      </c>
      <c r="D6" s="247"/>
      <c r="E6" s="627">
        <v>94</v>
      </c>
      <c r="F6" s="676"/>
    </row>
    <row r="7" spans="1:15" s="18" customFormat="1" ht="14.25" customHeight="1" x14ac:dyDescent="0.2">
      <c r="A7" s="52"/>
      <c r="B7" s="164" t="s">
        <v>322</v>
      </c>
      <c r="C7" s="247">
        <v>143</v>
      </c>
      <c r="D7" s="247"/>
      <c r="E7" s="627">
        <v>9</v>
      </c>
      <c r="F7" s="683"/>
      <c r="I7" s="646"/>
    </row>
    <row r="8" spans="1:15" ht="14.1" customHeight="1" x14ac:dyDescent="0.2">
      <c r="B8" s="164" t="s">
        <v>321</v>
      </c>
      <c r="C8" s="247" t="s">
        <v>1135</v>
      </c>
      <c r="D8" s="247"/>
      <c r="E8" s="627">
        <v>0</v>
      </c>
      <c r="F8" s="73"/>
    </row>
    <row r="9" spans="1:15" s="255" customFormat="1" ht="14.1" customHeight="1" x14ac:dyDescent="0.2">
      <c r="A9" s="256"/>
      <c r="B9" s="739"/>
      <c r="C9" s="670"/>
      <c r="D9" s="670"/>
      <c r="E9" s="671"/>
    </row>
    <row r="10" spans="1:15" s="255" customFormat="1" ht="29.4" customHeight="1" x14ac:dyDescent="0.2">
      <c r="A10" s="256"/>
      <c r="B10" s="739"/>
      <c r="C10" s="670"/>
      <c r="D10" s="670"/>
      <c r="E10" s="671"/>
    </row>
    <row r="11" spans="1:15" s="18" customFormat="1" ht="14.1" customHeight="1" x14ac:dyDescent="0.2">
      <c r="A11" s="52"/>
      <c r="C11" s="32"/>
      <c r="D11" s="55"/>
      <c r="E11" s="602"/>
    </row>
    <row r="12" spans="1:15" customFormat="1" ht="14.1" customHeight="1" x14ac:dyDescent="0.3">
      <c r="A12" s="53">
        <f>ROUNDDOWN('Op Inc 2'!A1,0)+1</f>
        <v>3</v>
      </c>
      <c r="B12" s="115" t="str">
        <f>"Note " &amp;A12 &amp; " Other operating income"</f>
        <v>Note 3 Other operating income</v>
      </c>
      <c r="C12" s="17"/>
      <c r="D12" s="43"/>
      <c r="E12" s="626"/>
      <c r="F12" s="17"/>
      <c r="G12" s="17"/>
      <c r="H12" s="17"/>
      <c r="I12" s="17"/>
      <c r="J12" s="17"/>
      <c r="K12" s="17"/>
      <c r="L12" s="17"/>
      <c r="M12" s="17"/>
      <c r="N12" s="17"/>
    </row>
    <row r="13" spans="1:15" customFormat="1" ht="14.1" customHeight="1" x14ac:dyDescent="0.3">
      <c r="A13" s="53"/>
      <c r="B13" s="18"/>
      <c r="C13" s="113" t="str">
        <f>CurrentFY</f>
        <v>2018/19</v>
      </c>
      <c r="D13" s="113"/>
      <c r="E13" s="624" t="str">
        <f>ComparativeFY</f>
        <v>2017/18</v>
      </c>
      <c r="F13" s="17"/>
      <c r="G13" s="17"/>
      <c r="H13" s="17"/>
      <c r="I13" s="17"/>
      <c r="J13" s="17"/>
      <c r="K13" s="17"/>
      <c r="L13" s="17"/>
      <c r="M13" s="17"/>
      <c r="N13" s="17"/>
    </row>
    <row r="14" spans="1:15" customFormat="1" ht="14.1" customHeight="1" x14ac:dyDescent="0.3">
      <c r="A14" s="53"/>
      <c r="B14" s="18"/>
      <c r="C14" s="113" t="s">
        <v>283</v>
      </c>
      <c r="D14" s="113"/>
      <c r="E14" s="624" t="s">
        <v>283</v>
      </c>
      <c r="F14" s="17"/>
      <c r="G14" s="17"/>
      <c r="H14" s="17"/>
      <c r="I14" s="17"/>
      <c r="J14" s="17"/>
      <c r="K14" s="17"/>
      <c r="L14" s="17"/>
      <c r="M14" s="17"/>
      <c r="N14" s="17"/>
    </row>
    <row r="15" spans="1:15" customFormat="1" ht="14.1" customHeight="1" x14ac:dyDescent="0.3">
      <c r="A15" s="53"/>
      <c r="B15" s="288" t="s">
        <v>895</v>
      </c>
      <c r="C15" s="62"/>
      <c r="D15" s="62"/>
      <c r="E15" s="620"/>
      <c r="F15" s="60"/>
      <c r="G15" s="17"/>
      <c r="H15" s="17"/>
      <c r="I15" s="17"/>
      <c r="J15" s="17"/>
      <c r="K15" s="17"/>
      <c r="L15" s="17"/>
      <c r="M15" s="17"/>
      <c r="N15" s="17"/>
      <c r="O15" s="17"/>
    </row>
    <row r="16" spans="1:15" customFormat="1" ht="14.1" customHeight="1" x14ac:dyDescent="0.3">
      <c r="A16" s="53"/>
      <c r="B16" s="137" t="s">
        <v>896</v>
      </c>
      <c r="C16" s="258">
        <v>4051</v>
      </c>
      <c r="D16" s="258"/>
      <c r="E16" s="620">
        <v>4154.6000000000004</v>
      </c>
      <c r="F16" s="60"/>
      <c r="G16" s="17"/>
      <c r="H16" s="17"/>
      <c r="I16" s="17"/>
      <c r="J16" s="17"/>
      <c r="K16" s="17"/>
      <c r="L16" s="17"/>
      <c r="M16" s="17"/>
      <c r="N16" s="17"/>
      <c r="O16" s="17"/>
    </row>
    <row r="17" spans="1:15" s="41" customFormat="1" ht="14.1" customHeight="1" x14ac:dyDescent="0.3">
      <c r="A17" s="53"/>
      <c r="B17" s="137" t="s">
        <v>897</v>
      </c>
      <c r="C17" s="62">
        <v>25556</v>
      </c>
      <c r="D17" s="62"/>
      <c r="E17" s="620">
        <v>22982</v>
      </c>
      <c r="F17" s="60"/>
    </row>
    <row r="18" spans="1:15" s="24" customFormat="1" ht="14.1" customHeight="1" x14ac:dyDescent="0.3">
      <c r="A18" s="53"/>
      <c r="B18" s="137" t="s">
        <v>881</v>
      </c>
      <c r="C18" s="62">
        <v>3045</v>
      </c>
      <c r="D18" s="62"/>
      <c r="E18" s="620">
        <v>4758.6000000000004</v>
      </c>
      <c r="F18" s="60"/>
    </row>
    <row r="19" spans="1:15" s="41" customFormat="1" ht="13.95" customHeight="1" x14ac:dyDescent="0.3">
      <c r="A19" s="53"/>
      <c r="B19" s="311" t="s">
        <v>1215</v>
      </c>
      <c r="C19" s="258">
        <v>27192</v>
      </c>
      <c r="D19" s="62"/>
      <c r="E19" s="620">
        <v>7898</v>
      </c>
      <c r="F19" s="60"/>
    </row>
    <row r="20" spans="1:15" s="41" customFormat="1" ht="14.1" customHeight="1" x14ac:dyDescent="0.3">
      <c r="A20" s="53"/>
      <c r="B20" s="174" t="s">
        <v>882</v>
      </c>
      <c r="C20" s="258">
        <v>2256</v>
      </c>
      <c r="D20" s="62"/>
      <c r="E20" s="620">
        <v>1999</v>
      </c>
      <c r="F20" s="60"/>
    </row>
    <row r="21" spans="1:15" s="244" customFormat="1" ht="14.1" customHeight="1" x14ac:dyDescent="0.3">
      <c r="A21" s="53"/>
      <c r="B21" s="284" t="s">
        <v>889</v>
      </c>
      <c r="C21" s="258">
        <v>6033</v>
      </c>
      <c r="D21" s="258"/>
      <c r="E21" s="620">
        <v>5169.8999999999996</v>
      </c>
      <c r="F21" s="232"/>
    </row>
    <row r="22" spans="1:15" s="244" customFormat="1" ht="28.2" customHeight="1" x14ac:dyDescent="0.3">
      <c r="A22" s="53"/>
      <c r="B22" s="288" t="s">
        <v>888</v>
      </c>
      <c r="C22" s="258"/>
      <c r="D22" s="258"/>
      <c r="E22" s="620"/>
      <c r="F22" s="232"/>
    </row>
    <row r="23" spans="1:15" s="244" customFormat="1" ht="14.1" hidden="1" customHeight="1" x14ac:dyDescent="0.3">
      <c r="A23" s="53"/>
      <c r="B23" s="289"/>
      <c r="C23" s="247"/>
      <c r="D23" s="247"/>
      <c r="E23" s="627"/>
      <c r="F23" s="77"/>
    </row>
    <row r="24" spans="1:15" s="244" customFormat="1" ht="14.1" customHeight="1" x14ac:dyDescent="0.3">
      <c r="A24" s="53"/>
      <c r="B24" s="284" t="s">
        <v>883</v>
      </c>
      <c r="C24" s="258">
        <v>441</v>
      </c>
      <c r="D24" s="258"/>
      <c r="E24" s="620">
        <v>128</v>
      </c>
      <c r="F24" s="232"/>
    </row>
    <row r="25" spans="1:15" s="244" customFormat="1" ht="14.1" customHeight="1" x14ac:dyDescent="0.3">
      <c r="A25" s="53"/>
      <c r="B25" s="284" t="s">
        <v>454</v>
      </c>
      <c r="C25" s="258">
        <v>651</v>
      </c>
      <c r="D25" s="258"/>
      <c r="E25" s="620">
        <v>83</v>
      </c>
      <c r="F25" s="232"/>
    </row>
    <row r="26" spans="1:15" s="244" customFormat="1" ht="14.1" customHeight="1" x14ac:dyDescent="0.3">
      <c r="A26" s="53"/>
      <c r="B26" s="284" t="s">
        <v>455</v>
      </c>
      <c r="C26" s="258">
        <v>3900</v>
      </c>
      <c r="D26" s="258"/>
      <c r="E26" s="620">
        <v>20</v>
      </c>
      <c r="F26" s="232"/>
    </row>
    <row r="27" spans="1:15" customFormat="1" ht="14.1" hidden="1" customHeight="1" x14ac:dyDescent="0.3">
      <c r="A27" s="53"/>
      <c r="B27" s="137"/>
      <c r="C27" s="258"/>
      <c r="D27" s="62"/>
      <c r="E27" s="620"/>
      <c r="F27" s="60"/>
      <c r="G27" s="17"/>
      <c r="H27" s="17"/>
      <c r="I27" s="17"/>
      <c r="J27" s="17"/>
      <c r="K27" s="17"/>
      <c r="L27" s="17"/>
      <c r="M27" s="17"/>
      <c r="N27" s="17"/>
      <c r="O27" s="17"/>
    </row>
    <row r="28" spans="1:15" s="244" customFormat="1" ht="14.1" hidden="1" customHeight="1" x14ac:dyDescent="0.3">
      <c r="A28" s="53"/>
      <c r="B28" s="284"/>
      <c r="C28" s="258"/>
      <c r="D28" s="258"/>
      <c r="E28" s="620"/>
      <c r="F28" s="232"/>
    </row>
    <row r="29" spans="1:15" s="244" customFormat="1" ht="14.1" hidden="1" customHeight="1" x14ac:dyDescent="0.3">
      <c r="A29" s="53"/>
      <c r="B29" s="284"/>
      <c r="C29" s="258"/>
      <c r="D29" s="258"/>
      <c r="E29" s="620"/>
      <c r="F29" s="232"/>
    </row>
    <row r="30" spans="1:15" customFormat="1" ht="14.1" hidden="1" customHeight="1" x14ac:dyDescent="0.3">
      <c r="A30" s="53"/>
      <c r="B30" s="137"/>
      <c r="C30" s="258"/>
      <c r="D30" s="62"/>
      <c r="E30" s="620"/>
      <c r="F30" s="60"/>
      <c r="G30" s="17"/>
      <c r="H30" s="17"/>
      <c r="I30" s="17"/>
      <c r="J30" s="17"/>
      <c r="K30" s="17"/>
      <c r="L30" s="17"/>
      <c r="M30" s="17"/>
      <c r="N30" s="17"/>
      <c r="O30" s="17"/>
    </row>
    <row r="31" spans="1:15" s="41" customFormat="1" ht="14.1" hidden="1" customHeight="1" x14ac:dyDescent="0.3">
      <c r="A31" s="53"/>
      <c r="B31" s="137"/>
      <c r="C31" s="62"/>
      <c r="D31" s="62"/>
      <c r="E31" s="620"/>
    </row>
    <row r="32" spans="1:15" s="672" customFormat="1" ht="14.1" customHeight="1" x14ac:dyDescent="0.3">
      <c r="A32" s="655"/>
      <c r="B32" s="780"/>
      <c r="C32" s="670"/>
      <c r="D32" s="670"/>
      <c r="E32" s="671"/>
    </row>
    <row r="33" spans="1:15" customFormat="1" ht="14.1" customHeight="1" thickBot="1" x14ac:dyDescent="0.35">
      <c r="A33" s="53"/>
      <c r="B33" s="123" t="s">
        <v>312</v>
      </c>
      <c r="C33" s="63">
        <f>SUM(C15:C31)</f>
        <v>73125</v>
      </c>
      <c r="D33" s="62"/>
      <c r="E33" s="622">
        <f>SUM(E15:E31)</f>
        <v>47193.1</v>
      </c>
      <c r="F33" s="17"/>
      <c r="G33" s="17"/>
      <c r="H33" s="17"/>
      <c r="I33" s="17"/>
      <c r="J33" s="17"/>
      <c r="K33" s="17"/>
      <c r="L33" s="17"/>
      <c r="M33" s="17"/>
      <c r="N33" s="17"/>
      <c r="O33" s="17"/>
    </row>
    <row r="34" spans="1:15" customFormat="1" ht="14.1" customHeight="1" thickTop="1" x14ac:dyDescent="0.3">
      <c r="A34" s="53"/>
      <c r="B34" s="123"/>
      <c r="C34" s="28"/>
      <c r="D34" s="27"/>
      <c r="E34" s="28"/>
      <c r="F34" s="17"/>
      <c r="G34" s="17"/>
      <c r="H34" s="17"/>
      <c r="I34" s="17"/>
      <c r="J34" s="17"/>
      <c r="K34" s="17"/>
      <c r="L34" s="17"/>
      <c r="M34" s="17"/>
      <c r="N34" s="17"/>
      <c r="O34" s="17"/>
    </row>
    <row r="35" spans="1:15" customFormat="1" ht="25.95" customHeight="1" x14ac:dyDescent="0.3">
      <c r="A35" s="53"/>
      <c r="B35" s="197" t="s">
        <v>1133</v>
      </c>
      <c r="C35" s="62"/>
      <c r="D35" s="62"/>
      <c r="E35" s="620"/>
      <c r="F35" s="17"/>
      <c r="G35" s="17"/>
      <c r="H35" s="17"/>
      <c r="I35" s="17"/>
      <c r="J35" s="17"/>
      <c r="K35" s="17"/>
      <c r="L35" s="17"/>
      <c r="M35" s="17"/>
      <c r="N35" s="17"/>
      <c r="O35" s="17"/>
    </row>
    <row r="36" spans="1:15" customFormat="1" ht="14.1" customHeight="1" x14ac:dyDescent="0.3">
      <c r="A36" s="53"/>
      <c r="B36" s="197"/>
      <c r="C36" s="62"/>
      <c r="D36" s="62"/>
      <c r="E36" s="620"/>
      <c r="F36" s="17"/>
      <c r="G36" s="17"/>
      <c r="H36" s="228"/>
      <c r="I36" s="17"/>
      <c r="J36" s="17"/>
      <c r="K36" s="17"/>
      <c r="L36" s="17"/>
      <c r="M36" s="17"/>
      <c r="N36" s="17"/>
      <c r="O36" s="17"/>
    </row>
    <row r="37" spans="1:15" s="41" customFormat="1" ht="29.25" customHeight="1" x14ac:dyDescent="0.3">
      <c r="A37" s="53"/>
      <c r="B37" s="910" t="s">
        <v>1216</v>
      </c>
      <c r="C37" s="910"/>
      <c r="D37" s="910"/>
      <c r="E37" s="910"/>
      <c r="H37" s="228"/>
    </row>
    <row r="38" spans="1:15" s="41" customFormat="1" ht="14.1" customHeight="1" x14ac:dyDescent="0.3">
      <c r="A38" s="53"/>
      <c r="B38" s="171"/>
      <c r="C38" s="62"/>
      <c r="D38" s="62"/>
      <c r="E38" s="620"/>
      <c r="H38" s="228"/>
    </row>
    <row r="39" spans="1:15" s="41" customFormat="1" ht="14.1" customHeight="1" x14ac:dyDescent="0.3">
      <c r="A39" s="53"/>
      <c r="B39" s="170"/>
      <c r="C39" s="62"/>
      <c r="D39" s="62"/>
      <c r="E39" s="620"/>
      <c r="H39" s="228"/>
    </row>
    <row r="62" ht="13.95" customHeight="1" x14ac:dyDescent="0.2"/>
    <row r="63" ht="13.95" customHeight="1" x14ac:dyDescent="0.2"/>
    <row r="64" ht="13.95" customHeight="1" x14ac:dyDescent="0.2"/>
    <row r="65" ht="13.95" customHeight="1" x14ac:dyDescent="0.2"/>
  </sheetData>
  <customSheetViews>
    <customSheetView guid="{EDC1BD6E-863A-4FC6-A3A9-F32079F4F0C1}">
      <selection activeCell="B30" sqref="B30"/>
      <pageMargins left="0.7" right="0.7" top="0.75" bottom="0.75" header="0.3" footer="0.3"/>
      <pageSetup paperSize="9" orientation="portrait" verticalDpi="0" r:id="rId1"/>
    </customSheetView>
  </customSheetViews>
  <mergeCells count="1">
    <mergeCell ref="B37:E37"/>
  </mergeCells>
  <pageMargins left="0.70866141732283472" right="0.70866141732283472" top="0.74803149606299213" bottom="0.74803149606299213" header="0.31496062992125984" footer="0.31496062992125984"/>
  <pageSetup paperSize="9" fitToHeight="0" orientation="portrait" r:id="rId2"/>
  <headerFooter>
    <oddHeader>&amp;C&amp;10Hull University Teaching Hospitals NHS Trust - Annual Accounts 2018/19</oddHeader>
    <oddFooter>&amp;C&amp;10Page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zoomScaleNormal="100" workbookViewId="0">
      <selection activeCell="B30" sqref="B30:F32"/>
    </sheetView>
  </sheetViews>
  <sheetFormatPr defaultColWidth="9.109375" defaultRowHeight="14.1" customHeight="1" x14ac:dyDescent="0.2"/>
  <cols>
    <col min="1" max="1" width="1.88671875" style="256" customWidth="1"/>
    <col min="2" max="2" width="61.33203125" style="13" customWidth="1"/>
    <col min="3" max="3" width="8.6640625" style="255" customWidth="1"/>
    <col min="4" max="4" width="2.6640625" style="2" customWidth="1"/>
    <col min="5" max="5" width="8.6640625" style="255" customWidth="1"/>
    <col min="6" max="16384" width="9.109375" style="255"/>
  </cols>
  <sheetData>
    <row r="1" spans="1:7" s="244" customFormat="1" ht="14.4" x14ac:dyDescent="0.3">
      <c r="A1" s="53">
        <f>ROUNDDOWN('Op Inc 2'!A12,0)+1.1</f>
        <v>4.0999999999999996</v>
      </c>
      <c r="B1" s="290" t="str">
        <f>"Note " &amp;A1 &amp; " Additional information on revenue from contracts with customers recognised in the period"</f>
        <v>Note 4.1 Additional information on revenue from contracts with customers recognised in the period</v>
      </c>
      <c r="D1" s="43"/>
    </row>
    <row r="2" spans="1:7" s="672" customFormat="1" ht="53.4" customHeight="1" x14ac:dyDescent="0.3">
      <c r="A2" s="655"/>
      <c r="B2" s="781"/>
      <c r="D2" s="43"/>
    </row>
    <row r="3" spans="1:7" s="244" customFormat="1" ht="13.95" customHeight="1" x14ac:dyDescent="0.3">
      <c r="A3" s="53"/>
      <c r="B3" s="290"/>
      <c r="C3" s="291"/>
      <c r="D3" s="43"/>
      <c r="E3" s="291" t="str">
        <f>CurrentFY</f>
        <v>2018/19</v>
      </c>
    </row>
    <row r="4" spans="1:7" ht="13.95" customHeight="1" x14ac:dyDescent="0.25">
      <c r="B4" s="287"/>
      <c r="C4" s="291"/>
      <c r="D4" s="253"/>
      <c r="E4" s="291" t="s">
        <v>283</v>
      </c>
    </row>
    <row r="5" spans="1:7" s="3" customFormat="1" ht="36.6" customHeight="1" x14ac:dyDescent="0.2">
      <c r="A5" s="51"/>
      <c r="B5" s="911" t="s">
        <v>920</v>
      </c>
      <c r="C5" s="911"/>
      <c r="D5" s="2"/>
      <c r="E5" s="837">
        <v>727</v>
      </c>
    </row>
    <row r="6" spans="1:7" s="3" customFormat="1" ht="4.2" customHeight="1" x14ac:dyDescent="0.2">
      <c r="A6" s="51"/>
      <c r="B6" s="287"/>
      <c r="C6" s="295"/>
      <c r="D6" s="2"/>
    </row>
    <row r="7" spans="1:7" s="3" customFormat="1" ht="27.6" hidden="1" customHeight="1" x14ac:dyDescent="0.2">
      <c r="A7" s="51"/>
      <c r="B7" s="827"/>
      <c r="C7" s="295"/>
      <c r="D7" s="2"/>
      <c r="E7" s="247">
        <v>0</v>
      </c>
    </row>
    <row r="8" spans="1:7" ht="10.95" hidden="1" customHeight="1" thickBot="1" x14ac:dyDescent="0.25">
      <c r="C8" s="295"/>
      <c r="E8" s="807"/>
    </row>
    <row r="9" spans="1:7" ht="41.4" customHeight="1" x14ac:dyDescent="0.2">
      <c r="C9" s="295"/>
      <c r="E9" s="247"/>
    </row>
    <row r="10" spans="1:7" s="244" customFormat="1" ht="14.1" hidden="1" customHeight="1" x14ac:dyDescent="0.3">
      <c r="A10" s="53">
        <f>'Op Inc 3'!A1+0.1</f>
        <v>4.1999999999999993</v>
      </c>
      <c r="B10" s="290" t="str">
        <f>"Note " &amp;A10 &amp; " Transaction price allocated to remaining performance obligations"</f>
        <v>Note 4.2 Transaction price allocated to remaining performance obligations</v>
      </c>
      <c r="D10" s="43"/>
    </row>
    <row r="11" spans="1:7" s="672" customFormat="1" ht="14.1" hidden="1" customHeight="1" x14ac:dyDescent="0.3">
      <c r="A11" s="655"/>
      <c r="B11" s="786"/>
      <c r="D11" s="43"/>
    </row>
    <row r="12" spans="1:7" s="244" customFormat="1" ht="24.6" hidden="1" x14ac:dyDescent="0.3">
      <c r="A12" s="53"/>
      <c r="B12" s="913" t="s">
        <v>891</v>
      </c>
      <c r="D12" s="43"/>
      <c r="E12" s="105" t="str">
        <f>TEXT(CurrentYearEnd, "d mmmm yyyy")</f>
        <v>31 March 2019</v>
      </c>
      <c r="G12" s="662" t="s">
        <v>1074</v>
      </c>
    </row>
    <row r="13" spans="1:7" s="3" customFormat="1" ht="13.95" hidden="1" customHeight="1" x14ac:dyDescent="0.25">
      <c r="A13" s="51"/>
      <c r="B13" s="913"/>
      <c r="D13" s="2"/>
      <c r="E13" s="291" t="s">
        <v>283</v>
      </c>
    </row>
    <row r="14" spans="1:7" s="3" customFormat="1" ht="13.95" hidden="1" customHeight="1" x14ac:dyDescent="0.2">
      <c r="A14" s="51"/>
      <c r="B14" s="289" t="s">
        <v>885</v>
      </c>
      <c r="D14" s="2"/>
      <c r="E14" s="247">
        <v>0</v>
      </c>
    </row>
    <row r="15" spans="1:7" s="3" customFormat="1" ht="13.95" hidden="1" customHeight="1" x14ac:dyDescent="0.2">
      <c r="A15" s="51"/>
      <c r="B15" s="289" t="s">
        <v>898</v>
      </c>
      <c r="D15" s="2"/>
      <c r="E15" s="247">
        <v>0</v>
      </c>
    </row>
    <row r="16" spans="1:7" s="3" customFormat="1" ht="13.95" hidden="1" customHeight="1" x14ac:dyDescent="0.2">
      <c r="A16" s="51"/>
      <c r="B16" s="289" t="s">
        <v>886</v>
      </c>
      <c r="D16" s="2"/>
      <c r="E16" s="247">
        <v>0</v>
      </c>
    </row>
    <row r="17" spans="1:13" s="3" customFormat="1" ht="13.95" hidden="1" customHeight="1" thickBot="1" x14ac:dyDescent="0.3">
      <c r="A17" s="51"/>
      <c r="B17" s="288" t="s">
        <v>890</v>
      </c>
      <c r="D17" s="2"/>
      <c r="E17" s="245">
        <f>SUM(E14:E16)</f>
        <v>0</v>
      </c>
    </row>
    <row r="18" spans="1:13" ht="13.95" hidden="1" customHeight="1" thickTop="1" x14ac:dyDescent="0.25">
      <c r="B18" s="207"/>
      <c r="E18" s="296"/>
    </row>
    <row r="19" spans="1:13" ht="39.450000000000003" hidden="1" customHeight="1" x14ac:dyDescent="0.2">
      <c r="A19" s="256">
        <v>4</v>
      </c>
      <c r="B19" s="914" t="s">
        <v>892</v>
      </c>
      <c r="C19" s="914"/>
      <c r="D19" s="914"/>
      <c r="E19" s="914"/>
    </row>
    <row r="20" spans="1:13" ht="18" customHeight="1" x14ac:dyDescent="0.2">
      <c r="B20" s="765"/>
      <c r="C20" s="765"/>
      <c r="D20" s="765"/>
      <c r="E20" s="765"/>
      <c r="I20" s="868"/>
    </row>
    <row r="21" spans="1:13" ht="13.95" customHeight="1" x14ac:dyDescent="0.2">
      <c r="B21" s="286"/>
      <c r="C21" s="286"/>
      <c r="D21" s="286"/>
      <c r="E21" s="286"/>
    </row>
    <row r="22" spans="1:13" s="3" customFormat="1" ht="14.1" customHeight="1" x14ac:dyDescent="0.25">
      <c r="A22" s="51">
        <f>A19+1</f>
        <v>5</v>
      </c>
      <c r="B22" s="196" t="str">
        <f>"Note " &amp;A22 &amp; " Income Generation activities"</f>
        <v>Note 5 Income Generation activities</v>
      </c>
      <c r="C22" s="73"/>
      <c r="D22" s="73"/>
      <c r="E22" s="73"/>
      <c r="F22" s="73"/>
      <c r="G22" s="73"/>
      <c r="H22" s="73"/>
      <c r="I22" s="73"/>
      <c r="J22" s="73"/>
      <c r="K22" s="73"/>
      <c r="L22" s="73"/>
      <c r="M22" s="73"/>
    </row>
    <row r="23" spans="1:13" ht="13.2" customHeight="1" x14ac:dyDescent="0.2">
      <c r="B23" s="912"/>
      <c r="C23" s="912"/>
      <c r="D23" s="912"/>
      <c r="E23" s="912"/>
      <c r="F23" s="73"/>
      <c r="G23" s="73"/>
      <c r="H23" s="73"/>
      <c r="I23" s="73"/>
      <c r="J23" s="73"/>
      <c r="K23" s="73"/>
      <c r="L23" s="73"/>
      <c r="M23" s="73"/>
    </row>
    <row r="24" spans="1:13" s="3" customFormat="1" ht="14.1" customHeight="1" x14ac:dyDescent="0.25">
      <c r="A24" s="51"/>
      <c r="B24" s="13"/>
      <c r="C24" s="201" t="str">
        <f>CurrentFY</f>
        <v>2018/19</v>
      </c>
      <c r="D24" s="201"/>
      <c r="E24" s="633" t="str">
        <f>ComparativeFY</f>
        <v>2017/18</v>
      </c>
    </row>
    <row r="25" spans="1:13" s="3" customFormat="1" ht="13.95" customHeight="1" x14ac:dyDescent="0.25">
      <c r="A25" s="51"/>
      <c r="B25" s="460" t="s">
        <v>1016</v>
      </c>
      <c r="C25" s="201" t="s">
        <v>283</v>
      </c>
      <c r="D25" s="201"/>
      <c r="E25" s="633" t="s">
        <v>283</v>
      </c>
    </row>
    <row r="26" spans="1:13" s="3" customFormat="1" ht="22.2" customHeight="1" x14ac:dyDescent="0.2">
      <c r="A26" s="51"/>
      <c r="B26" s="459" t="s">
        <v>613</v>
      </c>
      <c r="C26" s="62">
        <f>+C31+C36</f>
        <v>4300</v>
      </c>
      <c r="D26" s="62"/>
      <c r="E26" s="620">
        <v>4294</v>
      </c>
    </row>
    <row r="27" spans="1:13" s="3" customFormat="1" ht="14.1" customHeight="1" x14ac:dyDescent="0.2">
      <c r="A27" s="51"/>
      <c r="B27" s="206" t="s">
        <v>614</v>
      </c>
      <c r="C27" s="258">
        <f>+C32+C37</f>
        <v>-3246</v>
      </c>
      <c r="D27" s="62"/>
      <c r="E27" s="620">
        <v>-3329</v>
      </c>
    </row>
    <row r="28" spans="1:13" s="3" customFormat="1" ht="14.1" customHeight="1" thickBot="1" x14ac:dyDescent="0.3">
      <c r="A28" s="51"/>
      <c r="B28" s="207" t="s">
        <v>1188</v>
      </c>
      <c r="C28" s="198">
        <f>SUM(C26:C27)</f>
        <v>1054</v>
      </c>
      <c r="D28" s="2"/>
      <c r="E28" s="622">
        <f>SUM(E26:E27)</f>
        <v>965</v>
      </c>
    </row>
    <row r="29" spans="1:13" ht="13.95" customHeight="1" thickTop="1" x14ac:dyDescent="0.2">
      <c r="B29" s="320"/>
      <c r="E29" s="445"/>
    </row>
    <row r="30" spans="1:13" ht="14.1" customHeight="1" x14ac:dyDescent="0.2">
      <c r="B30" s="207" t="s">
        <v>1017</v>
      </c>
    </row>
    <row r="31" spans="1:13" ht="14.1" customHeight="1" x14ac:dyDescent="0.2">
      <c r="B31" s="206" t="s">
        <v>613</v>
      </c>
      <c r="C31" s="645">
        <v>2604</v>
      </c>
      <c r="D31" s="643"/>
      <c r="E31" s="645">
        <v>2509</v>
      </c>
    </row>
    <row r="32" spans="1:13" ht="14.1" customHeight="1" x14ac:dyDescent="0.2">
      <c r="B32" s="206" t="s">
        <v>614</v>
      </c>
      <c r="C32" s="645">
        <v>-2423</v>
      </c>
      <c r="D32" s="643"/>
      <c r="E32" s="645">
        <v>-2380</v>
      </c>
    </row>
    <row r="33" spans="2:5" ht="14.1" customHeight="1" thickBot="1" x14ac:dyDescent="0.3">
      <c r="B33" s="207" t="s">
        <v>1188</v>
      </c>
      <c r="C33" s="647">
        <f>SUM(C31:C32)</f>
        <v>181</v>
      </c>
      <c r="D33" s="643"/>
      <c r="E33" s="641">
        <f>SUM(E31:E32)</f>
        <v>129</v>
      </c>
    </row>
    <row r="34" spans="2:5" ht="14.1" customHeight="1" thickTop="1" x14ac:dyDescent="0.2">
      <c r="C34" s="645"/>
      <c r="D34" s="643"/>
      <c r="E34" s="645"/>
    </row>
    <row r="35" spans="2:5" ht="14.1" customHeight="1" x14ac:dyDescent="0.2">
      <c r="B35" s="460" t="s">
        <v>1018</v>
      </c>
      <c r="C35" s="645"/>
      <c r="D35" s="643"/>
      <c r="E35" s="645"/>
    </row>
    <row r="36" spans="2:5" ht="14.1" customHeight="1" x14ac:dyDescent="0.2">
      <c r="B36" s="459" t="s">
        <v>613</v>
      </c>
      <c r="C36" s="645">
        <v>1696</v>
      </c>
      <c r="D36" s="643"/>
      <c r="E36" s="645">
        <v>1785</v>
      </c>
    </row>
    <row r="37" spans="2:5" ht="14.1" customHeight="1" x14ac:dyDescent="0.2">
      <c r="B37" s="459" t="s">
        <v>614</v>
      </c>
      <c r="C37" s="645">
        <v>-823</v>
      </c>
      <c r="D37" s="643"/>
      <c r="E37" s="645">
        <v>-949</v>
      </c>
    </row>
    <row r="38" spans="2:5" ht="14.1" customHeight="1" thickBot="1" x14ac:dyDescent="0.3">
      <c r="B38" s="460" t="s">
        <v>1188</v>
      </c>
      <c r="C38" s="647">
        <f>SUM(C36:C37)</f>
        <v>873</v>
      </c>
      <c r="D38" s="643"/>
      <c r="E38" s="641">
        <f>SUM(E36:E37)</f>
        <v>836</v>
      </c>
    </row>
    <row r="39" spans="2:5" ht="14.1" customHeight="1" thickTop="1" x14ac:dyDescent="0.2"/>
  </sheetData>
  <mergeCells count="4">
    <mergeCell ref="B5:C5"/>
    <mergeCell ref="B23:E23"/>
    <mergeCell ref="B12:B13"/>
    <mergeCell ref="B19:E19"/>
  </mergeCells>
  <pageMargins left="0.70866141732283472" right="0.70866141732283472" top="0.74803149606299213" bottom="0.74803149606299213" header="0.31496062992125984" footer="0.31496062992125984"/>
  <pageSetup paperSize="9" fitToHeight="0" orientation="portrait" r:id="rId1"/>
  <headerFooter>
    <oddHeader>&amp;C&amp;10Hull University Teaching Hospitals NHS Trust - Annual Accounts 2018/19</oddHeader>
    <oddFooter>&amp;C&amp;10Page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53"/>
  <sheetViews>
    <sheetView topLeftCell="A19" zoomScaleNormal="100" workbookViewId="0">
      <selection activeCell="C23" sqref="C23"/>
    </sheetView>
  </sheetViews>
  <sheetFormatPr defaultColWidth="9.109375" defaultRowHeight="14.1" customHeight="1" x14ac:dyDescent="0.2"/>
  <cols>
    <col min="1" max="1" width="1.109375" style="52" customWidth="1"/>
    <col min="2" max="2" width="62.33203125" style="18" customWidth="1"/>
    <col min="3" max="3" width="8.6640625" style="18" customWidth="1"/>
    <col min="4" max="4" width="2.6640625" style="44" customWidth="1"/>
    <col min="5" max="5" width="8.6640625" style="602" customWidth="1"/>
    <col min="6" max="16384" width="9.109375" style="18"/>
  </cols>
  <sheetData>
    <row r="1" spans="1:9" s="25" customFormat="1" ht="14.1" customHeight="1" x14ac:dyDescent="0.25">
      <c r="A1" s="52">
        <f>ROUNDDOWN('Op Inc 3'!A22,0)+1.1</f>
        <v>6.1</v>
      </c>
      <c r="B1" s="20" t="str">
        <f>"Note " &amp;A1 &amp;  " Operating expenses"</f>
        <v>Note 6.1 Operating expenses</v>
      </c>
      <c r="C1" s="297"/>
      <c r="D1" s="209"/>
      <c r="E1" s="73"/>
    </row>
    <row r="2" spans="1:9" s="767" customFormat="1" ht="14.1" customHeight="1" x14ac:dyDescent="0.25">
      <c r="A2" s="722"/>
      <c r="B2" s="777"/>
      <c r="C2" s="297"/>
      <c r="D2" s="209"/>
      <c r="E2" s="73"/>
    </row>
    <row r="3" spans="1:9" ht="14.1" customHeight="1" x14ac:dyDescent="0.25">
      <c r="C3" s="113" t="str">
        <f>CurrentFY</f>
        <v>2018/19</v>
      </c>
      <c r="D3" s="113"/>
      <c r="E3" s="624" t="str">
        <f>ComparativeFY</f>
        <v>2017/18</v>
      </c>
    </row>
    <row r="4" spans="1:9" ht="14.1" customHeight="1" x14ac:dyDescent="0.25">
      <c r="C4" s="113" t="s">
        <v>283</v>
      </c>
      <c r="D4" s="113"/>
      <c r="E4" s="624" t="s">
        <v>283</v>
      </c>
    </row>
    <row r="5" spans="1:9" s="767" customFormat="1" ht="14.1" customHeight="1" x14ac:dyDescent="0.25">
      <c r="A5" s="722"/>
      <c r="C5" s="778"/>
      <c r="D5" s="778"/>
      <c r="E5" s="664"/>
    </row>
    <row r="6" spans="1:9" ht="4.2" customHeight="1" x14ac:dyDescent="0.2">
      <c r="B6" s="284"/>
      <c r="C6" s="62"/>
      <c r="D6" s="62"/>
      <c r="E6" s="620"/>
    </row>
    <row r="7" spans="1:9" ht="14.1" customHeight="1" x14ac:dyDescent="0.2">
      <c r="B7" s="284" t="s">
        <v>853</v>
      </c>
      <c r="C7" s="62">
        <v>10865</v>
      </c>
      <c r="D7" s="62"/>
      <c r="E7" s="620">
        <v>10349</v>
      </c>
    </row>
    <row r="8" spans="1:9" s="25" customFormat="1" ht="14.1" hidden="1" customHeight="1" x14ac:dyDescent="0.2">
      <c r="A8" s="52"/>
      <c r="B8" s="284"/>
      <c r="C8" s="62"/>
      <c r="D8" s="62"/>
      <c r="E8" s="620"/>
    </row>
    <row r="9" spans="1:9" ht="14.1" customHeight="1" x14ac:dyDescent="0.2">
      <c r="B9" s="284" t="s">
        <v>597</v>
      </c>
      <c r="C9" s="62">
        <v>348970</v>
      </c>
      <c r="D9" s="62"/>
      <c r="E9" s="620">
        <v>331722</v>
      </c>
    </row>
    <row r="10" spans="1:9" ht="14.1" customHeight="1" x14ac:dyDescent="0.2">
      <c r="B10" s="284" t="s">
        <v>543</v>
      </c>
      <c r="C10" s="62">
        <v>86</v>
      </c>
      <c r="D10" s="62"/>
      <c r="E10" s="620">
        <v>83</v>
      </c>
    </row>
    <row r="11" spans="1:9" ht="14.1" customHeight="1" x14ac:dyDescent="0.2">
      <c r="B11" s="284" t="s">
        <v>598</v>
      </c>
      <c r="C11" s="62">
        <f>69460+146</f>
        <v>69606</v>
      </c>
      <c r="D11" s="62"/>
      <c r="E11" s="620">
        <v>72609</v>
      </c>
      <c r="F11" s="46"/>
      <c r="G11" s="26"/>
      <c r="H11" s="26"/>
    </row>
    <row r="12" spans="1:9" ht="14.1" customHeight="1" x14ac:dyDescent="0.2">
      <c r="B12" s="284" t="s">
        <v>324</v>
      </c>
      <c r="C12" s="62">
        <f>14535-146</f>
        <v>14389</v>
      </c>
      <c r="D12" s="62"/>
      <c r="E12" s="620">
        <v>14272</v>
      </c>
      <c r="F12" s="26"/>
      <c r="G12" s="26"/>
      <c r="H12" s="26"/>
    </row>
    <row r="13" spans="1:9" ht="14.1" customHeight="1" x14ac:dyDescent="0.2">
      <c r="B13" s="284" t="s">
        <v>599</v>
      </c>
      <c r="C13" s="62">
        <v>72301</v>
      </c>
      <c r="D13" s="62"/>
      <c r="E13" s="620">
        <v>69981</v>
      </c>
      <c r="F13" s="26"/>
      <c r="G13" s="26"/>
      <c r="H13" s="26"/>
    </row>
    <row r="14" spans="1:9" ht="14.1" hidden="1" customHeight="1" x14ac:dyDescent="0.2">
      <c r="B14" s="284"/>
      <c r="C14" s="62"/>
      <c r="D14" s="62"/>
      <c r="E14" s="620"/>
      <c r="F14" s="26"/>
      <c r="G14" s="916"/>
      <c r="H14" s="916"/>
      <c r="I14" s="916"/>
    </row>
    <row r="15" spans="1:9" ht="14.1" customHeight="1" x14ac:dyDescent="0.2">
      <c r="B15" s="284" t="s">
        <v>331</v>
      </c>
      <c r="C15" s="62">
        <v>41</v>
      </c>
      <c r="D15" s="62"/>
      <c r="E15" s="620">
        <v>1399</v>
      </c>
      <c r="F15" s="46"/>
      <c r="G15" s="26"/>
      <c r="H15" s="26"/>
    </row>
    <row r="16" spans="1:9" ht="14.1" customHeight="1" x14ac:dyDescent="0.2">
      <c r="B16" s="284" t="s">
        <v>325</v>
      </c>
      <c r="C16" s="62">
        <v>5215</v>
      </c>
      <c r="D16" s="62"/>
      <c r="E16" s="620">
        <v>4968</v>
      </c>
      <c r="F16" s="46"/>
      <c r="G16" s="26"/>
      <c r="H16" s="26"/>
    </row>
    <row r="17" spans="1:8" ht="14.1" customHeight="1" x14ac:dyDescent="0.2">
      <c r="B17" s="284" t="s">
        <v>438</v>
      </c>
      <c r="C17" s="62">
        <v>22240</v>
      </c>
      <c r="D17" s="62"/>
      <c r="E17" s="620">
        <v>21904</v>
      </c>
      <c r="F17" s="46"/>
      <c r="G17" s="26"/>
      <c r="H17" s="26"/>
    </row>
    <row r="18" spans="1:8" ht="14.1" customHeight="1" x14ac:dyDescent="0.2">
      <c r="B18" s="284" t="s">
        <v>601</v>
      </c>
      <c r="C18" s="62">
        <v>2531</v>
      </c>
      <c r="D18" s="62"/>
      <c r="E18" s="620">
        <v>2601</v>
      </c>
      <c r="F18" s="26"/>
      <c r="G18" s="26"/>
      <c r="H18" s="26"/>
    </row>
    <row r="19" spans="1:8" ht="14.1" customHeight="1" x14ac:dyDescent="0.2">
      <c r="B19" s="284" t="s">
        <v>326</v>
      </c>
      <c r="C19" s="62">
        <v>11369</v>
      </c>
      <c r="D19" s="62"/>
      <c r="E19" s="620">
        <v>11064</v>
      </c>
      <c r="F19" s="26"/>
      <c r="G19" s="26"/>
      <c r="H19" s="26"/>
    </row>
    <row r="20" spans="1:8" ht="14.1" customHeight="1" x14ac:dyDescent="0.2">
      <c r="B20" s="284" t="s">
        <v>327</v>
      </c>
      <c r="C20" s="62">
        <v>1441</v>
      </c>
      <c r="D20" s="62"/>
      <c r="E20" s="620">
        <v>1158</v>
      </c>
      <c r="F20" s="26"/>
      <c r="G20" s="26"/>
      <c r="H20" s="26"/>
    </row>
    <row r="21" spans="1:8" ht="5.4" hidden="1" customHeight="1" x14ac:dyDescent="0.2">
      <c r="B21" s="284"/>
      <c r="C21" s="62"/>
      <c r="D21" s="62"/>
      <c r="E21" s="620"/>
      <c r="F21" s="26"/>
      <c r="G21" s="26"/>
      <c r="H21" s="26"/>
    </row>
    <row r="22" spans="1:8" s="905" customFormat="1" ht="11.4" customHeight="1" x14ac:dyDescent="0.2">
      <c r="A22" s="722"/>
      <c r="B22" s="906" t="s">
        <v>1234</v>
      </c>
      <c r="C22" s="670">
        <v>1570</v>
      </c>
      <c r="D22" s="670"/>
      <c r="E22" s="671">
        <v>0</v>
      </c>
      <c r="F22" s="676"/>
      <c r="G22" s="676"/>
      <c r="H22" s="676"/>
    </row>
    <row r="23" spans="1:8" ht="14.1" customHeight="1" x14ac:dyDescent="0.2">
      <c r="B23" s="284" t="s">
        <v>893</v>
      </c>
      <c r="C23" s="62">
        <v>661</v>
      </c>
      <c r="D23" s="62"/>
      <c r="E23" s="620" t="s">
        <v>1135</v>
      </c>
      <c r="F23" s="26"/>
      <c r="G23" s="26"/>
      <c r="H23" s="26"/>
    </row>
    <row r="24" spans="1:8" s="283" customFormat="1" ht="14.1" customHeight="1" x14ac:dyDescent="0.2">
      <c r="A24" s="257"/>
      <c r="B24" s="284" t="s">
        <v>894</v>
      </c>
      <c r="C24" s="258">
        <v>-314</v>
      </c>
      <c r="D24" s="258"/>
      <c r="E24" s="620">
        <v>-247</v>
      </c>
      <c r="F24" s="282"/>
      <c r="G24" s="282"/>
      <c r="H24" s="282"/>
    </row>
    <row r="25" spans="1:8" s="283" customFormat="1" ht="14.1" customHeight="1" x14ac:dyDescent="0.2">
      <c r="A25" s="257"/>
      <c r="B25" s="284" t="s">
        <v>1189</v>
      </c>
      <c r="C25" s="258">
        <v>344</v>
      </c>
      <c r="D25" s="258"/>
      <c r="E25" s="620">
        <v>0</v>
      </c>
      <c r="F25" s="282"/>
      <c r="G25" s="282"/>
      <c r="H25" s="282"/>
    </row>
    <row r="26" spans="1:8" ht="14.1" hidden="1" customHeight="1" x14ac:dyDescent="0.2">
      <c r="B26" s="284"/>
      <c r="C26" s="62"/>
      <c r="D26" s="62"/>
      <c r="E26" s="620"/>
      <c r="F26" s="46"/>
      <c r="G26" s="26"/>
      <c r="H26" s="26"/>
    </row>
    <row r="27" spans="1:8" ht="14.1" customHeight="1" x14ac:dyDescent="0.2">
      <c r="B27" s="284" t="s">
        <v>328</v>
      </c>
      <c r="C27" s="62"/>
      <c r="D27" s="62"/>
      <c r="E27" s="620"/>
      <c r="F27" s="26"/>
      <c r="G27" s="26"/>
      <c r="H27" s="26"/>
    </row>
    <row r="28" spans="1:8" ht="14.1" customHeight="1" x14ac:dyDescent="0.2">
      <c r="B28" s="150" t="s">
        <v>329</v>
      </c>
      <c r="C28" s="62">
        <v>50</v>
      </c>
      <c r="D28" s="62"/>
      <c r="E28" s="620">
        <v>50</v>
      </c>
      <c r="F28" s="26"/>
      <c r="G28" s="26"/>
      <c r="H28" s="26"/>
    </row>
    <row r="29" spans="1:8" ht="14.1" customHeight="1" x14ac:dyDescent="0.2">
      <c r="B29" s="150" t="s">
        <v>335</v>
      </c>
      <c r="C29" s="62">
        <v>10</v>
      </c>
      <c r="D29" s="62"/>
      <c r="E29" s="620">
        <v>10</v>
      </c>
      <c r="F29" s="46"/>
      <c r="G29" s="26"/>
      <c r="H29" s="26"/>
    </row>
    <row r="30" spans="1:8" ht="14.1" customHeight="1" x14ac:dyDescent="0.2">
      <c r="B30" s="284" t="s">
        <v>542</v>
      </c>
      <c r="C30" s="62">
        <v>120</v>
      </c>
      <c r="D30" s="62"/>
      <c r="E30" s="620">
        <v>127</v>
      </c>
      <c r="F30" s="26"/>
      <c r="G30" s="26"/>
      <c r="H30" s="26"/>
    </row>
    <row r="31" spans="1:8" ht="14.1" customHeight="1" x14ac:dyDescent="0.2">
      <c r="B31" s="284" t="s">
        <v>458</v>
      </c>
      <c r="C31" s="62">
        <v>19072</v>
      </c>
      <c r="D31" s="62"/>
      <c r="E31" s="620">
        <v>20701</v>
      </c>
      <c r="F31" s="26"/>
      <c r="G31" s="26"/>
      <c r="H31" s="26"/>
    </row>
    <row r="32" spans="1:8" ht="14.1" customHeight="1" x14ac:dyDescent="0.2">
      <c r="B32" s="284" t="s">
        <v>330</v>
      </c>
      <c r="C32" s="62">
        <v>183</v>
      </c>
      <c r="D32" s="62"/>
      <c r="E32" s="620">
        <v>142</v>
      </c>
      <c r="F32" s="26"/>
      <c r="H32" s="26"/>
    </row>
    <row r="33" spans="1:11" s="25" customFormat="1" ht="14.1" customHeight="1" x14ac:dyDescent="0.2">
      <c r="A33" s="52"/>
      <c r="B33" s="284" t="s">
        <v>333</v>
      </c>
      <c r="C33" s="62">
        <v>517</v>
      </c>
      <c r="D33" s="62"/>
      <c r="E33" s="620">
        <v>294</v>
      </c>
      <c r="F33" s="46"/>
      <c r="H33" s="26"/>
    </row>
    <row r="34" spans="1:11" ht="14.1" customHeight="1" x14ac:dyDescent="0.2">
      <c r="B34" s="284" t="s">
        <v>437</v>
      </c>
      <c r="C34" s="168">
        <v>2835</v>
      </c>
      <c r="D34" s="168"/>
      <c r="E34" s="627">
        <v>2093</v>
      </c>
      <c r="F34" s="26"/>
      <c r="G34" s="26"/>
      <c r="H34" s="26"/>
    </row>
    <row r="35" spans="1:11" ht="14.1" customHeight="1" x14ac:dyDescent="0.2">
      <c r="B35" s="284" t="s">
        <v>600</v>
      </c>
      <c r="C35" s="168">
        <v>2895</v>
      </c>
      <c r="D35" s="168"/>
      <c r="E35" s="627">
        <v>2317</v>
      </c>
      <c r="F35" s="26"/>
      <c r="G35" s="26"/>
      <c r="H35" s="26"/>
    </row>
    <row r="36" spans="1:11" s="159" customFormat="1" ht="14.1" customHeight="1" x14ac:dyDescent="0.2">
      <c r="A36" s="52"/>
      <c r="B36" s="284" t="s">
        <v>457</v>
      </c>
      <c r="C36" s="168">
        <v>2212</v>
      </c>
      <c r="D36" s="168"/>
      <c r="E36" s="627">
        <v>2300</v>
      </c>
      <c r="F36" s="26"/>
      <c r="G36" s="26"/>
      <c r="H36" s="26"/>
      <c r="K36" s="838"/>
    </row>
    <row r="37" spans="1:11" ht="14.1" hidden="1" customHeight="1" x14ac:dyDescent="0.2">
      <c r="B37" s="284"/>
      <c r="C37" s="168"/>
      <c r="D37" s="168"/>
      <c r="E37" s="627"/>
      <c r="F37" s="26"/>
      <c r="G37" s="26"/>
      <c r="H37" s="26"/>
    </row>
    <row r="38" spans="1:11" ht="14.1" hidden="1" customHeight="1" x14ac:dyDescent="0.2">
      <c r="B38" s="284"/>
      <c r="C38" s="168"/>
      <c r="D38" s="62"/>
      <c r="E38" s="620"/>
      <c r="F38" s="26"/>
      <c r="G38" s="26"/>
      <c r="H38" s="26"/>
    </row>
    <row r="39" spans="1:11" ht="13.95" customHeight="1" x14ac:dyDescent="0.2">
      <c r="B39" s="284" t="s">
        <v>899</v>
      </c>
      <c r="C39" s="168">
        <v>2084</v>
      </c>
      <c r="D39" s="62"/>
      <c r="E39" s="620">
        <v>2080</v>
      </c>
      <c r="F39" s="26"/>
      <c r="G39" s="26"/>
      <c r="H39" s="26"/>
    </row>
    <row r="40" spans="1:11" ht="13.95" customHeight="1" x14ac:dyDescent="0.2">
      <c r="B40" s="284" t="s">
        <v>884</v>
      </c>
      <c r="C40" s="247">
        <v>81</v>
      </c>
      <c r="D40" s="62"/>
      <c r="E40" s="627">
        <v>81</v>
      </c>
      <c r="F40" s="46"/>
      <c r="G40" s="26"/>
      <c r="H40" s="26"/>
    </row>
    <row r="41" spans="1:11" ht="14.1" customHeight="1" x14ac:dyDescent="0.2">
      <c r="B41" s="284" t="s">
        <v>439</v>
      </c>
      <c r="C41" s="247">
        <v>1158</v>
      </c>
      <c r="D41" s="258"/>
      <c r="E41" s="627">
        <v>1486</v>
      </c>
      <c r="G41" s="26"/>
      <c r="H41" s="26"/>
    </row>
    <row r="42" spans="1:11" ht="14.1" customHeight="1" x14ac:dyDescent="0.2">
      <c r="B42" s="284" t="s">
        <v>332</v>
      </c>
      <c r="C42" s="247" t="s">
        <v>1135</v>
      </c>
      <c r="D42" s="258"/>
      <c r="E42" s="620">
        <v>6</v>
      </c>
      <c r="G42" s="26"/>
      <c r="H42" s="26"/>
    </row>
    <row r="43" spans="1:11" ht="14.1" customHeight="1" x14ac:dyDescent="0.2">
      <c r="B43" s="284" t="s">
        <v>440</v>
      </c>
      <c r="C43" s="247">
        <v>63</v>
      </c>
      <c r="D43" s="258"/>
      <c r="E43" s="620">
        <v>67</v>
      </c>
      <c r="F43" s="26"/>
      <c r="G43" s="26"/>
      <c r="H43" s="26"/>
    </row>
    <row r="44" spans="1:11" ht="14.1" hidden="1" customHeight="1" x14ac:dyDescent="0.2">
      <c r="B44" s="284"/>
      <c r="C44" s="62"/>
      <c r="D44" s="62"/>
      <c r="E44" s="620"/>
      <c r="F44" s="26"/>
      <c r="G44" s="26"/>
      <c r="H44" s="26"/>
    </row>
    <row r="45" spans="1:11" ht="14.1" customHeight="1" x14ac:dyDescent="0.2">
      <c r="B45" s="284" t="s">
        <v>334</v>
      </c>
      <c r="C45" s="62">
        <v>529</v>
      </c>
      <c r="D45" s="62"/>
      <c r="E45" s="620">
        <v>561</v>
      </c>
      <c r="F45" s="26"/>
      <c r="G45" s="26"/>
      <c r="H45" s="26"/>
      <c r="I45" s="838"/>
    </row>
    <row r="46" spans="1:11" ht="14.1" customHeight="1" x14ac:dyDescent="0.2">
      <c r="B46" s="284" t="s">
        <v>314</v>
      </c>
      <c r="C46" s="258">
        <v>54</v>
      </c>
      <c r="D46" s="258"/>
      <c r="E46" s="620">
        <v>873.1</v>
      </c>
      <c r="F46" s="26"/>
      <c r="G46" s="218"/>
      <c r="H46" s="26"/>
    </row>
    <row r="47" spans="1:11" s="767" customFormat="1" ht="14.1" customHeight="1" x14ac:dyDescent="0.2">
      <c r="A47" s="722"/>
      <c r="B47" s="780"/>
      <c r="C47" s="670"/>
      <c r="D47" s="670"/>
      <c r="E47" s="671"/>
      <c r="F47" s="676"/>
      <c r="G47" s="676"/>
      <c r="H47" s="676"/>
    </row>
    <row r="48" spans="1:11" ht="14.1" customHeight="1" thickBot="1" x14ac:dyDescent="0.3">
      <c r="B48" s="123" t="s">
        <v>282</v>
      </c>
      <c r="C48" s="63">
        <f>SUM(C7:C47)</f>
        <v>593178</v>
      </c>
      <c r="D48" s="62"/>
      <c r="E48" s="622">
        <f>SUM(E6:E46)</f>
        <v>575051.1</v>
      </c>
      <c r="F48" s="26"/>
      <c r="G48" s="26"/>
      <c r="H48" s="26"/>
    </row>
    <row r="49" spans="2:8" ht="14.1" customHeight="1" thickTop="1" x14ac:dyDescent="0.25">
      <c r="B49" s="123"/>
      <c r="C49" s="30"/>
      <c r="D49" s="45"/>
      <c r="E49" s="600"/>
    </row>
    <row r="50" spans="2:8" ht="25.95" customHeight="1" x14ac:dyDescent="0.2">
      <c r="B50" s="669" t="s">
        <v>1075</v>
      </c>
      <c r="C50" s="670"/>
      <c r="D50" s="670"/>
      <c r="E50" s="671"/>
    </row>
    <row r="51" spans="2:8" ht="14.1" customHeight="1" x14ac:dyDescent="0.2">
      <c r="B51" s="915"/>
      <c r="C51" s="915"/>
      <c r="D51" s="915"/>
      <c r="E51" s="915"/>
    </row>
    <row r="52" spans="2:8" ht="27.75" customHeight="1" x14ac:dyDescent="0.2">
      <c r="B52" s="914"/>
      <c r="C52" s="914"/>
      <c r="D52" s="914"/>
      <c r="E52" s="914"/>
      <c r="H52" s="230"/>
    </row>
    <row r="53" spans="2:8" ht="14.1" customHeight="1" x14ac:dyDescent="0.2">
      <c r="C53" s="32"/>
      <c r="D53" s="55"/>
      <c r="E53" s="550"/>
    </row>
  </sheetData>
  <customSheetViews>
    <customSheetView guid="{EDC1BD6E-863A-4FC6-A3A9-F32079F4F0C1}">
      <selection activeCell="H23" sqref="H23"/>
      <pageMargins left="0.7" right="0.7" top="0.75" bottom="0.75" header="0.3" footer="0.3"/>
      <pageSetup paperSize="9" orientation="portrait" verticalDpi="0" r:id="rId1"/>
    </customSheetView>
  </customSheetViews>
  <mergeCells count="3">
    <mergeCell ref="B52:E52"/>
    <mergeCell ref="B51:E51"/>
    <mergeCell ref="G14:I14"/>
  </mergeCells>
  <pageMargins left="0.70866141732283472" right="0.70866141732283472" top="0.74803149606299213" bottom="0.74803149606299213" header="0.31496062992125984" footer="0.31496062992125984"/>
  <pageSetup paperSize="9" orientation="portrait" r:id="rId2"/>
  <headerFooter>
    <oddHeader>&amp;C&amp;10Hull University Teaching Hospitals NHS Trust - Annual Accounts 2018/19</oddHeader>
    <oddFooter>&amp;C&amp;10Page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53"/>
  <sheetViews>
    <sheetView topLeftCell="A23" zoomScaleNormal="100" workbookViewId="0">
      <selection activeCell="B30" sqref="B30:F32"/>
    </sheetView>
  </sheetViews>
  <sheetFormatPr defaultColWidth="9.109375" defaultRowHeight="14.1" customHeight="1" x14ac:dyDescent="0.2"/>
  <cols>
    <col min="1" max="1" width="1.109375" style="52" customWidth="1"/>
    <col min="2" max="2" width="62.6640625" style="18" customWidth="1"/>
    <col min="3" max="3" width="8.6640625" style="18" customWidth="1"/>
    <col min="4" max="4" width="2.6640625" style="44" customWidth="1"/>
    <col min="5" max="5" width="8.6640625" style="602" customWidth="1"/>
    <col min="6" max="16384" width="9.109375" style="18"/>
  </cols>
  <sheetData>
    <row r="1" spans="1:5" ht="14.1" customHeight="1" x14ac:dyDescent="0.25">
      <c r="A1" s="52">
        <f>'Op Exp'!A1+0.1</f>
        <v>6.1999999999999993</v>
      </c>
      <c r="B1" s="115" t="str">
        <f>"Note " &amp; A1 &amp; " Other auditor remuneration"</f>
        <v>Note 6.2 Other auditor remuneration</v>
      </c>
      <c r="C1" s="115"/>
      <c r="D1" s="115"/>
      <c r="E1" s="623"/>
    </row>
    <row r="2" spans="1:5" s="767" customFormat="1" ht="25.95" customHeight="1" x14ac:dyDescent="0.25">
      <c r="A2" s="722"/>
      <c r="B2" s="777"/>
      <c r="C2" s="777"/>
      <c r="D2" s="777"/>
      <c r="E2" s="623"/>
    </row>
    <row r="3" spans="1:5" ht="14.1" customHeight="1" x14ac:dyDescent="0.25">
      <c r="C3" s="113" t="str">
        <f>CurrentFY</f>
        <v>2018/19</v>
      </c>
      <c r="D3" s="113"/>
      <c r="E3" s="624" t="str">
        <f>ComparativeFY</f>
        <v>2017/18</v>
      </c>
    </row>
    <row r="4" spans="1:5" ht="14.1" customHeight="1" x14ac:dyDescent="0.25">
      <c r="C4" s="113" t="s">
        <v>283</v>
      </c>
      <c r="D4" s="113"/>
      <c r="E4" s="624" t="s">
        <v>283</v>
      </c>
    </row>
    <row r="5" spans="1:5" ht="14.1" customHeight="1" x14ac:dyDescent="0.25">
      <c r="B5" s="37" t="s">
        <v>459</v>
      </c>
      <c r="C5" s="62"/>
      <c r="D5" s="62"/>
      <c r="E5" s="620"/>
    </row>
    <row r="6" spans="1:5" ht="14.1" customHeight="1" x14ac:dyDescent="0.2">
      <c r="B6" s="197" t="s">
        <v>460</v>
      </c>
      <c r="C6" s="62">
        <v>4</v>
      </c>
      <c r="D6" s="62"/>
      <c r="E6" s="620">
        <v>4</v>
      </c>
    </row>
    <row r="7" spans="1:5" ht="14.1" customHeight="1" x14ac:dyDescent="0.2">
      <c r="B7" s="197" t="s">
        <v>336</v>
      </c>
      <c r="C7" s="258">
        <v>6</v>
      </c>
      <c r="D7" s="258"/>
      <c r="E7" s="620">
        <v>6</v>
      </c>
    </row>
    <row r="8" spans="1:5" ht="14.1" hidden="1" customHeight="1" x14ac:dyDescent="0.2">
      <c r="B8" s="197" t="s">
        <v>337</v>
      </c>
      <c r="C8" s="258">
        <v>0</v>
      </c>
      <c r="D8" s="258"/>
      <c r="E8" s="620">
        <v>0</v>
      </c>
    </row>
    <row r="9" spans="1:5" ht="14.1" hidden="1" customHeight="1" x14ac:dyDescent="0.2">
      <c r="B9" s="197" t="s">
        <v>461</v>
      </c>
      <c r="C9" s="258">
        <v>0</v>
      </c>
      <c r="D9" s="258"/>
      <c r="E9" s="620">
        <v>0</v>
      </c>
    </row>
    <row r="10" spans="1:5" s="25" customFormat="1" ht="14.1" hidden="1" customHeight="1" x14ac:dyDescent="0.2">
      <c r="A10" s="52"/>
      <c r="B10" s="197" t="s">
        <v>462</v>
      </c>
      <c r="C10" s="258">
        <v>0</v>
      </c>
      <c r="D10" s="258"/>
      <c r="E10" s="620">
        <v>0</v>
      </c>
    </row>
    <row r="11" spans="1:5" ht="14.1" hidden="1" customHeight="1" x14ac:dyDescent="0.2">
      <c r="B11" s="197" t="s">
        <v>338</v>
      </c>
      <c r="C11" s="258">
        <v>0</v>
      </c>
      <c r="D11" s="258"/>
      <c r="E11" s="620">
        <v>0</v>
      </c>
    </row>
    <row r="12" spans="1:5" s="25" customFormat="1" ht="14.1" hidden="1" customHeight="1" x14ac:dyDescent="0.2">
      <c r="A12" s="52"/>
      <c r="B12" s="197" t="s">
        <v>339</v>
      </c>
      <c r="C12" s="258">
        <v>0</v>
      </c>
      <c r="D12" s="258"/>
      <c r="E12" s="620">
        <v>0</v>
      </c>
    </row>
    <row r="13" spans="1:5" s="25" customFormat="1" ht="14.1" hidden="1" customHeight="1" x14ac:dyDescent="0.2">
      <c r="A13" s="52"/>
      <c r="B13" s="197" t="s">
        <v>463</v>
      </c>
      <c r="C13" s="258">
        <v>0</v>
      </c>
      <c r="D13" s="258"/>
      <c r="E13" s="620">
        <v>0</v>
      </c>
    </row>
    <row r="14" spans="1:5" ht="14.1" customHeight="1" thickBot="1" x14ac:dyDescent="0.3">
      <c r="B14" s="123" t="s">
        <v>282</v>
      </c>
      <c r="C14" s="63">
        <f>SUM(C5:C13)</f>
        <v>10</v>
      </c>
      <c r="D14" s="62"/>
      <c r="E14" s="622">
        <f>SUM(E5:E13)</f>
        <v>10</v>
      </c>
    </row>
    <row r="15" spans="1:5" s="25" customFormat="1" ht="14.1" customHeight="1" thickTop="1" x14ac:dyDescent="0.25">
      <c r="A15" s="52"/>
      <c r="B15" s="47"/>
      <c r="C15" s="34"/>
      <c r="D15" s="34"/>
      <c r="E15" s="628"/>
    </row>
    <row r="16" spans="1:5" s="729" customFormat="1" ht="14.1" customHeight="1" x14ac:dyDescent="0.25">
      <c r="A16" s="722"/>
      <c r="B16" s="735"/>
      <c r="C16" s="654"/>
      <c r="D16" s="654"/>
      <c r="E16" s="665"/>
    </row>
    <row r="18" spans="1:8" ht="14.1" customHeight="1" x14ac:dyDescent="0.25">
      <c r="A18" s="52">
        <f>A1+0.1</f>
        <v>6.2999999999999989</v>
      </c>
      <c r="B18" s="115" t="str">
        <f>"Note " &amp; A18&amp; " Limitation on auditor's liability"</f>
        <v>Note 6.3 Limitation on auditor's liability</v>
      </c>
    </row>
    <row r="19" spans="1:8" s="767" customFormat="1" ht="14.1" customHeight="1" x14ac:dyDescent="0.25">
      <c r="A19" s="722"/>
      <c r="B19" s="777"/>
      <c r="D19" s="679"/>
      <c r="E19" s="602"/>
    </row>
    <row r="20" spans="1:8" ht="6.6" customHeight="1" x14ac:dyDescent="0.2">
      <c r="B20" s="917" t="s">
        <v>1147</v>
      </c>
      <c r="C20" s="917"/>
      <c r="D20" s="917"/>
      <c r="E20" s="917"/>
    </row>
    <row r="21" spans="1:8" ht="9" customHeight="1" x14ac:dyDescent="0.2">
      <c r="B21" s="917"/>
      <c r="C21" s="917"/>
      <c r="D21" s="917"/>
      <c r="E21" s="917"/>
    </row>
    <row r="22" spans="1:8" s="25" customFormat="1" ht="14.1" customHeight="1" x14ac:dyDescent="0.2">
      <c r="A22" s="52"/>
      <c r="D22" s="44"/>
      <c r="E22" s="602"/>
    </row>
    <row r="24" spans="1:8" ht="14.1" customHeight="1" x14ac:dyDescent="0.25">
      <c r="A24" s="52">
        <f>ROUNDDOWN(A18,0)+1</f>
        <v>7</v>
      </c>
      <c r="B24" s="447" t="str">
        <f>"Note "&amp; A24 &amp;" Employee benefits"</f>
        <v>Note 7 Employee benefits</v>
      </c>
      <c r="C24" s="446"/>
      <c r="D24" s="446"/>
      <c r="G24" s="25"/>
      <c r="H24" s="25"/>
    </row>
    <row r="25" spans="1:8" s="729" customFormat="1" ht="14.1" customHeight="1" x14ac:dyDescent="0.25">
      <c r="A25" s="722"/>
      <c r="B25" s="735"/>
      <c r="E25" s="602"/>
    </row>
    <row r="26" spans="1:8" ht="14.1" customHeight="1" x14ac:dyDescent="0.25">
      <c r="B26" s="446"/>
      <c r="C26" s="455" t="str">
        <f>CurrentFY</f>
        <v>2018/19</v>
      </c>
      <c r="D26" s="455"/>
      <c r="E26" s="624" t="str">
        <f>ComparativeFY</f>
        <v>2017/18</v>
      </c>
      <c r="G26" s="25"/>
      <c r="H26" s="25"/>
    </row>
    <row r="27" spans="1:8" ht="14.1" customHeight="1" x14ac:dyDescent="0.25">
      <c r="B27" s="446"/>
      <c r="C27" s="455" t="s">
        <v>282</v>
      </c>
      <c r="D27" s="455"/>
      <c r="E27" s="624" t="s">
        <v>282</v>
      </c>
      <c r="G27" s="25"/>
      <c r="H27" s="25"/>
    </row>
    <row r="28" spans="1:8" ht="14.1" customHeight="1" x14ac:dyDescent="0.25">
      <c r="B28" s="446"/>
      <c r="C28" s="455" t="s">
        <v>283</v>
      </c>
      <c r="D28" s="455"/>
      <c r="E28" s="624" t="s">
        <v>283</v>
      </c>
      <c r="F28" s="23"/>
      <c r="G28" s="25"/>
      <c r="H28" s="25"/>
    </row>
    <row r="29" spans="1:8" ht="14.1" customHeight="1" x14ac:dyDescent="0.2">
      <c r="B29" s="457" t="s">
        <v>340</v>
      </c>
      <c r="C29" s="462">
        <v>280468</v>
      </c>
      <c r="D29" s="449"/>
      <c r="E29" s="620">
        <v>267446</v>
      </c>
      <c r="F29" s="23"/>
      <c r="G29" s="25"/>
      <c r="H29" s="25"/>
    </row>
    <row r="30" spans="1:8" ht="14.1" customHeight="1" x14ac:dyDescent="0.2">
      <c r="B30" s="457" t="s">
        <v>341</v>
      </c>
      <c r="C30" s="462">
        <v>26945</v>
      </c>
      <c r="D30" s="449"/>
      <c r="E30" s="620">
        <v>25299</v>
      </c>
      <c r="F30" s="23"/>
      <c r="G30" s="25"/>
      <c r="H30" s="25"/>
    </row>
    <row r="31" spans="1:8" ht="14.1" customHeight="1" x14ac:dyDescent="0.2">
      <c r="B31" s="457" t="s">
        <v>602</v>
      </c>
      <c r="C31" s="462">
        <v>1371</v>
      </c>
      <c r="D31" s="449"/>
      <c r="E31" s="620">
        <v>1297</v>
      </c>
      <c r="F31" s="23"/>
      <c r="G31" s="25"/>
      <c r="H31" s="25"/>
    </row>
    <row r="32" spans="1:8" ht="14.1" customHeight="1" x14ac:dyDescent="0.2">
      <c r="B32" s="457" t="s">
        <v>464</v>
      </c>
      <c r="C32" s="462">
        <v>32012</v>
      </c>
      <c r="D32" s="449"/>
      <c r="E32" s="620">
        <v>30413</v>
      </c>
      <c r="F32" s="23"/>
      <c r="G32" s="25"/>
      <c r="H32" s="25"/>
    </row>
    <row r="33" spans="1:8" ht="14.1" customHeight="1" x14ac:dyDescent="0.2">
      <c r="B33" s="457" t="s">
        <v>342</v>
      </c>
      <c r="C33" s="462">
        <v>8</v>
      </c>
      <c r="D33" s="449"/>
      <c r="E33" s="620">
        <v>3</v>
      </c>
      <c r="F33" s="23"/>
      <c r="G33" s="25"/>
      <c r="H33" s="25"/>
    </row>
    <row r="34" spans="1:8" ht="14.1" hidden="1" customHeight="1" x14ac:dyDescent="0.2">
      <c r="B34" s="457" t="s">
        <v>343</v>
      </c>
      <c r="C34" s="462">
        <v>0</v>
      </c>
      <c r="D34" s="449"/>
      <c r="E34" s="620">
        <v>0</v>
      </c>
      <c r="F34" s="23"/>
      <c r="G34" s="25"/>
      <c r="H34" s="25"/>
    </row>
    <row r="35" spans="1:8" ht="14.1" hidden="1" customHeight="1" x14ac:dyDescent="0.2">
      <c r="B35" s="457" t="s">
        <v>344</v>
      </c>
      <c r="C35" s="462">
        <v>0</v>
      </c>
      <c r="D35" s="449"/>
      <c r="E35" s="620">
        <v>0</v>
      </c>
      <c r="F35" s="23"/>
      <c r="G35" s="25"/>
      <c r="H35" s="25"/>
    </row>
    <row r="36" spans="1:8" ht="14.1" hidden="1" customHeight="1" x14ac:dyDescent="0.2">
      <c r="B36" s="457" t="s">
        <v>345</v>
      </c>
      <c r="C36" s="462">
        <v>0</v>
      </c>
      <c r="D36" s="449"/>
      <c r="E36" s="620">
        <v>0</v>
      </c>
      <c r="G36" s="25"/>
      <c r="H36" s="25"/>
    </row>
    <row r="37" spans="1:8" ht="14.1" customHeight="1" x14ac:dyDescent="0.2">
      <c r="B37" s="457" t="s">
        <v>563</v>
      </c>
      <c r="C37" s="462">
        <v>11621</v>
      </c>
      <c r="D37" s="449"/>
      <c r="E37" s="620">
        <v>10108</v>
      </c>
      <c r="G37" s="25"/>
      <c r="H37" s="25"/>
    </row>
    <row r="38" spans="1:8" ht="14.1" customHeight="1" thickBot="1" x14ac:dyDescent="0.35">
      <c r="B38" s="456" t="s">
        <v>348</v>
      </c>
      <c r="C38" s="453">
        <f>SUM(C29:C37)</f>
        <v>352425</v>
      </c>
      <c r="D38" s="444"/>
      <c r="E38" s="622">
        <f>SUM(E29:E37)</f>
        <v>334566</v>
      </c>
      <c r="G38" s="25"/>
      <c r="H38" s="25"/>
    </row>
    <row r="39" spans="1:8" s="729" customFormat="1" ht="14.1" customHeight="1" thickTop="1" x14ac:dyDescent="0.3">
      <c r="A39" s="722"/>
      <c r="B39" s="740"/>
      <c r="C39" s="515"/>
      <c r="D39" s="672"/>
      <c r="E39" s="638"/>
    </row>
    <row r="40" spans="1:8" s="676" customFormat="1" ht="14.1" customHeight="1" x14ac:dyDescent="0.3">
      <c r="A40" s="368"/>
      <c r="B40" s="164"/>
      <c r="C40" s="746"/>
      <c r="D40" s="748"/>
      <c r="E40" s="750"/>
      <c r="H40" s="350"/>
    </row>
    <row r="41" spans="1:8" s="729" customFormat="1" ht="14.1" hidden="1" customHeight="1" x14ac:dyDescent="0.3">
      <c r="A41" s="722"/>
      <c r="B41" s="739"/>
      <c r="C41" s="606"/>
      <c r="D41" s="672"/>
      <c r="E41" s="671"/>
    </row>
    <row r="42" spans="1:8" s="25" customFormat="1" ht="25.2" hidden="1" customHeight="1" thickBot="1" x14ac:dyDescent="0.35">
      <c r="A42" s="52"/>
      <c r="B42" s="456"/>
      <c r="C42" s="453"/>
      <c r="D42" s="444"/>
      <c r="E42" s="622"/>
    </row>
    <row r="43" spans="1:8" s="25" customFormat="1" ht="14.1" customHeight="1" x14ac:dyDescent="0.25">
      <c r="A43" s="52"/>
      <c r="B43" s="456"/>
      <c r="C43" s="448"/>
      <c r="D43" s="448"/>
      <c r="E43" s="600"/>
    </row>
    <row r="44" spans="1:8" s="25" customFormat="1" ht="14.1" customHeight="1" thickBot="1" x14ac:dyDescent="0.25">
      <c r="A44" s="52"/>
      <c r="B44" s="457" t="s">
        <v>346</v>
      </c>
      <c r="C44" s="857">
        <v>1305</v>
      </c>
      <c r="D44" s="452"/>
      <c r="E44" s="858">
        <v>816</v>
      </c>
    </row>
    <row r="45" spans="1:8" ht="14.1" customHeight="1" thickTop="1" x14ac:dyDescent="0.2">
      <c r="C45" s="30"/>
      <c r="D45" s="30"/>
      <c r="E45" s="600"/>
    </row>
    <row r="46" spans="1:8" s="767" customFormat="1" ht="14.1" customHeight="1" x14ac:dyDescent="0.2">
      <c r="A46" s="722"/>
      <c r="C46" s="600"/>
      <c r="D46" s="600"/>
      <c r="E46" s="600"/>
    </row>
    <row r="48" spans="1:8" ht="14.1" customHeight="1" x14ac:dyDescent="0.25">
      <c r="A48" s="451">
        <f>A24+0.1</f>
        <v>7.1</v>
      </c>
      <c r="B48" s="447" t="str">
        <f>"Note "&amp; A48&amp;" Retirements due to ill-health"</f>
        <v>Note 7.1 Retirements due to ill-health</v>
      </c>
    </row>
    <row r="49" spans="2:5" ht="13.95" customHeight="1" x14ac:dyDescent="0.2">
      <c r="B49" s="918" t="s">
        <v>1190</v>
      </c>
      <c r="C49" s="918"/>
      <c r="D49" s="918"/>
      <c r="E49" s="918"/>
    </row>
    <row r="50" spans="2:5" ht="14.1" customHeight="1" x14ac:dyDescent="0.2">
      <c r="B50" s="918"/>
      <c r="C50" s="918"/>
      <c r="D50" s="918"/>
      <c r="E50" s="918"/>
    </row>
    <row r="51" spans="2:5" ht="18.600000000000001" customHeight="1" x14ac:dyDescent="0.2">
      <c r="B51" s="918"/>
      <c r="C51" s="918"/>
      <c r="D51" s="918"/>
      <c r="E51" s="918"/>
    </row>
    <row r="53" spans="2:5" ht="14.1" customHeight="1" x14ac:dyDescent="0.2">
      <c r="B53" s="458" t="s">
        <v>478</v>
      </c>
    </row>
  </sheetData>
  <customSheetViews>
    <customSheetView guid="{EDC1BD6E-863A-4FC6-A3A9-F32079F4F0C1}">
      <selection activeCell="B35" sqref="B35"/>
      <pageMargins left="0.7" right="0.7" top="0.75" bottom="0.75" header="0.3" footer="0.3"/>
      <pageSetup paperSize="9" orientation="portrait" verticalDpi="0" r:id="rId1"/>
    </customSheetView>
  </customSheetViews>
  <mergeCells count="2">
    <mergeCell ref="B20:E21"/>
    <mergeCell ref="B49:E51"/>
  </mergeCells>
  <pageMargins left="0.70866141732283472" right="0.70866141732283472" top="0.74803149606299213" bottom="0.74803149606299213" header="0.31496062992125984" footer="0.31496062992125984"/>
  <pageSetup paperSize="9" orientation="portrait" r:id="rId2"/>
  <headerFooter>
    <oddHeader>&amp;C&amp;10Hull University Teaching Hospitals NHS Trust - Annual Accounts 2018/19</oddHeader>
    <oddFooter>&amp;C&amp;10Page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J390"/>
  <sheetViews>
    <sheetView zoomScaleNormal="100" workbookViewId="0">
      <selection activeCell="B30" sqref="B30:F32"/>
    </sheetView>
  </sheetViews>
  <sheetFormatPr defaultRowHeight="13.95" customHeight="1" x14ac:dyDescent="0.3"/>
  <cols>
    <col min="1" max="1" width="1.33203125" customWidth="1"/>
    <col min="2" max="9" width="9.109375" style="92"/>
    <col min="10" max="10" width="12.88671875" style="92" customWidth="1"/>
  </cols>
  <sheetData>
    <row r="1" spans="1:10" ht="13.95" customHeight="1" x14ac:dyDescent="0.3">
      <c r="A1">
        <f>'Audit &amp; Impair'!A24+1</f>
        <v>8</v>
      </c>
      <c r="B1" s="91" t="str">
        <f>"Note "&amp;A1 &amp; " Pension costs"</f>
        <v>Note 8 Pension costs</v>
      </c>
    </row>
    <row r="3" spans="1:10" ht="82.95" customHeight="1" x14ac:dyDescent="0.3">
      <c r="B3" s="925" t="s">
        <v>1156</v>
      </c>
      <c r="C3" s="923"/>
      <c r="D3" s="923"/>
      <c r="E3" s="923"/>
      <c r="F3" s="923"/>
      <c r="G3" s="923"/>
      <c r="H3" s="923"/>
      <c r="I3" s="923"/>
      <c r="J3" s="923"/>
    </row>
    <row r="4" spans="1:10" s="244" customFormat="1" ht="7.95" customHeight="1" x14ac:dyDescent="0.3">
      <c r="B4" s="92"/>
      <c r="C4" s="92"/>
      <c r="D4" s="92"/>
      <c r="E4" s="92"/>
      <c r="F4" s="92"/>
      <c r="G4" s="92"/>
      <c r="H4" s="92"/>
      <c r="I4" s="92"/>
      <c r="J4" s="92"/>
    </row>
    <row r="5" spans="1:10" s="25" customFormat="1" ht="51" customHeight="1" x14ac:dyDescent="0.25">
      <c r="B5" s="926" t="s">
        <v>1157</v>
      </c>
      <c r="C5" s="921"/>
      <c r="D5" s="921"/>
      <c r="E5" s="921"/>
      <c r="F5" s="921"/>
      <c r="G5" s="921"/>
      <c r="H5" s="921"/>
      <c r="I5" s="921"/>
      <c r="J5" s="921"/>
    </row>
    <row r="6" spans="1:10" s="268" customFormat="1" ht="13.95" customHeight="1" x14ac:dyDescent="0.2">
      <c r="B6" s="266"/>
      <c r="C6" s="266"/>
      <c r="D6" s="266"/>
      <c r="E6" s="266"/>
      <c r="F6" s="266"/>
      <c r="G6" s="266"/>
      <c r="H6" s="266"/>
      <c r="I6" s="266"/>
      <c r="J6" s="266"/>
    </row>
    <row r="7" spans="1:10" s="268" customFormat="1" ht="13.95" customHeight="1" x14ac:dyDescent="0.2">
      <c r="B7" s="922" t="s">
        <v>865</v>
      </c>
      <c r="C7" s="922"/>
      <c r="D7" s="922"/>
      <c r="E7" s="922"/>
      <c r="F7" s="922"/>
      <c r="G7" s="922"/>
      <c r="H7" s="922"/>
      <c r="I7" s="922"/>
      <c r="J7" s="922"/>
    </row>
    <row r="8" spans="1:10" s="268" customFormat="1" ht="82.5" customHeight="1" x14ac:dyDescent="0.3">
      <c r="B8" s="927" t="s">
        <v>1019</v>
      </c>
      <c r="C8" s="928"/>
      <c r="D8" s="928"/>
      <c r="E8" s="928"/>
      <c r="F8" s="928"/>
      <c r="G8" s="928"/>
      <c r="H8" s="928"/>
      <c r="I8" s="928"/>
      <c r="J8" s="928"/>
    </row>
    <row r="9" spans="1:10" s="268" customFormat="1" ht="11.4" x14ac:dyDescent="0.2">
      <c r="B9" s="266"/>
      <c r="C9" s="266"/>
      <c r="D9" s="266"/>
      <c r="E9" s="266"/>
      <c r="F9" s="266"/>
      <c r="G9" s="266"/>
      <c r="H9" s="266"/>
      <c r="I9" s="266"/>
      <c r="J9" s="266"/>
    </row>
    <row r="10" spans="1:10" s="268" customFormat="1" ht="39.75" customHeight="1" x14ac:dyDescent="0.3">
      <c r="B10" s="920" t="s">
        <v>1158</v>
      </c>
      <c r="C10" s="923"/>
      <c r="D10" s="923"/>
      <c r="E10" s="923"/>
      <c r="F10" s="923"/>
      <c r="G10" s="923"/>
      <c r="H10" s="923"/>
      <c r="I10" s="923"/>
      <c r="J10" s="923"/>
    </row>
    <row r="11" spans="1:10" s="268" customFormat="1" ht="13.95" customHeight="1" x14ac:dyDescent="0.2">
      <c r="B11" s="266"/>
      <c r="C11" s="266"/>
      <c r="D11" s="266"/>
      <c r="E11" s="266"/>
      <c r="F11" s="266"/>
      <c r="G11" s="266"/>
      <c r="H11" s="266"/>
      <c r="I11" s="266"/>
      <c r="J11" s="266"/>
    </row>
    <row r="12" spans="1:10" s="268" customFormat="1" ht="13.95" customHeight="1" x14ac:dyDescent="0.2">
      <c r="B12" s="922" t="s">
        <v>866</v>
      </c>
      <c r="C12" s="922"/>
      <c r="D12" s="922"/>
      <c r="E12" s="922"/>
      <c r="F12" s="922"/>
      <c r="G12" s="922"/>
      <c r="H12" s="922"/>
      <c r="I12" s="922"/>
      <c r="J12" s="922"/>
    </row>
    <row r="13" spans="1:10" s="268" customFormat="1" ht="37.5" customHeight="1" x14ac:dyDescent="0.3">
      <c r="B13" s="920" t="s">
        <v>1020</v>
      </c>
      <c r="C13" s="923"/>
      <c r="D13" s="923"/>
      <c r="E13" s="923"/>
      <c r="F13" s="923"/>
      <c r="G13" s="923"/>
      <c r="H13" s="923"/>
      <c r="I13" s="923"/>
      <c r="J13" s="923"/>
    </row>
    <row r="14" spans="1:10" s="268" customFormat="1" ht="13.95" customHeight="1" x14ac:dyDescent="0.2">
      <c r="B14" s="266"/>
      <c r="C14" s="266"/>
      <c r="D14" s="266"/>
      <c r="E14" s="266"/>
      <c r="F14" s="266"/>
      <c r="G14" s="266"/>
      <c r="H14" s="266"/>
      <c r="I14" s="266"/>
      <c r="J14" s="266"/>
    </row>
    <row r="15" spans="1:10" s="268" customFormat="1" ht="46.95" customHeight="1" x14ac:dyDescent="0.25">
      <c r="B15" s="920" t="s">
        <v>1159</v>
      </c>
      <c r="C15" s="921"/>
      <c r="D15" s="921"/>
      <c r="E15" s="921"/>
      <c r="F15" s="921"/>
      <c r="G15" s="921"/>
      <c r="H15" s="921"/>
      <c r="I15" s="921"/>
      <c r="J15" s="921"/>
    </row>
    <row r="16" spans="1:10" s="834" customFormat="1" ht="44.4" customHeight="1" x14ac:dyDescent="0.3">
      <c r="B16" s="924" t="s">
        <v>1160</v>
      </c>
      <c r="C16" s="923"/>
      <c r="D16" s="923"/>
      <c r="E16" s="923"/>
      <c r="F16" s="923"/>
      <c r="G16" s="923"/>
      <c r="H16" s="923"/>
      <c r="I16" s="923"/>
      <c r="J16" s="923"/>
    </row>
    <row r="17" spans="2:10" s="268" customFormat="1" ht="13.95" customHeight="1" x14ac:dyDescent="0.2">
      <c r="B17" s="272"/>
      <c r="C17" s="272"/>
      <c r="D17" s="272"/>
      <c r="E17" s="272"/>
      <c r="F17" s="272"/>
      <c r="G17" s="272"/>
      <c r="H17" s="272"/>
      <c r="I17" s="272"/>
      <c r="J17" s="272"/>
    </row>
    <row r="18" spans="2:10" s="25" customFormat="1" ht="13.95" customHeight="1" x14ac:dyDescent="0.2">
      <c r="B18" s="464" t="s">
        <v>1021</v>
      </c>
      <c r="C18" s="461"/>
      <c r="D18" s="461"/>
      <c r="E18" s="461"/>
      <c r="F18" s="461"/>
      <c r="G18" s="461"/>
      <c r="H18" s="266"/>
      <c r="I18" s="266"/>
      <c r="J18" s="266"/>
    </row>
    <row r="19" spans="2:10" s="25" customFormat="1" ht="49.95" customHeight="1" x14ac:dyDescent="0.2">
      <c r="B19" s="919" t="s">
        <v>1022</v>
      </c>
      <c r="C19" s="919"/>
      <c r="D19" s="919"/>
      <c r="E19" s="919"/>
      <c r="F19" s="919"/>
      <c r="G19" s="919"/>
      <c r="H19" s="919"/>
      <c r="I19" s="919"/>
      <c r="J19" s="919"/>
    </row>
    <row r="20" spans="2:10" s="25" customFormat="1" ht="8.4" customHeight="1" x14ac:dyDescent="0.2">
      <c r="B20" s="450"/>
      <c r="C20" s="450"/>
      <c r="D20" s="450"/>
      <c r="E20" s="450"/>
      <c r="F20" s="450"/>
      <c r="G20" s="450"/>
      <c r="H20" s="70"/>
      <c r="I20" s="70"/>
      <c r="J20" s="70"/>
    </row>
    <row r="21" spans="2:10" s="25" customFormat="1" ht="37.200000000000003" customHeight="1" x14ac:dyDescent="0.2">
      <c r="B21" s="919" t="s">
        <v>1023</v>
      </c>
      <c r="C21" s="919"/>
      <c r="D21" s="919"/>
      <c r="E21" s="919"/>
      <c r="F21" s="919"/>
      <c r="G21" s="919"/>
      <c r="H21" s="919"/>
      <c r="I21" s="919"/>
      <c r="J21" s="919"/>
    </row>
    <row r="22" spans="2:10" s="25" customFormat="1" ht="9.6" customHeight="1" x14ac:dyDescent="0.2">
      <c r="B22" s="450"/>
      <c r="C22" s="450"/>
      <c r="D22" s="450"/>
      <c r="E22" s="450"/>
      <c r="F22" s="450"/>
      <c r="G22" s="450"/>
      <c r="H22" s="70"/>
      <c r="I22" s="70"/>
      <c r="J22" s="70"/>
    </row>
    <row r="23" spans="2:10" s="25" customFormat="1" ht="37.200000000000003" customHeight="1" x14ac:dyDescent="0.2">
      <c r="B23" s="919" t="s">
        <v>1161</v>
      </c>
      <c r="C23" s="919"/>
      <c r="D23" s="919"/>
      <c r="E23" s="919"/>
      <c r="F23" s="919"/>
      <c r="G23" s="919"/>
      <c r="H23" s="919"/>
      <c r="I23" s="919"/>
      <c r="J23" s="919"/>
    </row>
    <row r="24" spans="2:10" s="25" customFormat="1" ht="13.95" customHeight="1" x14ac:dyDescent="0.2">
      <c r="B24" s="70"/>
      <c r="C24" s="70"/>
      <c r="D24" s="70"/>
      <c r="E24" s="70"/>
      <c r="F24" s="70"/>
      <c r="G24" s="70"/>
      <c r="H24" s="70"/>
      <c r="I24" s="70"/>
      <c r="J24" s="70"/>
    </row>
    <row r="25" spans="2:10" s="25" customFormat="1" ht="13.95" customHeight="1" x14ac:dyDescent="0.2">
      <c r="B25" s="70"/>
      <c r="C25" s="70"/>
      <c r="D25" s="70"/>
      <c r="E25" s="70"/>
      <c r="F25" s="70"/>
      <c r="G25" s="70"/>
      <c r="H25" s="70"/>
      <c r="I25" s="70"/>
      <c r="J25" s="70"/>
    </row>
    <row r="26" spans="2:10" s="25" customFormat="1" ht="13.95" customHeight="1" x14ac:dyDescent="0.2">
      <c r="B26" s="70"/>
      <c r="C26" s="70"/>
      <c r="D26" s="70"/>
      <c r="E26" s="70"/>
      <c r="F26" s="70"/>
      <c r="G26" s="70"/>
      <c r="H26" s="70"/>
      <c r="I26" s="70"/>
      <c r="J26" s="70"/>
    </row>
    <row r="27" spans="2:10" s="25" customFormat="1" ht="13.95" customHeight="1" x14ac:dyDescent="0.2">
      <c r="B27" s="70"/>
      <c r="C27" s="70"/>
      <c r="D27" s="70"/>
      <c r="E27" s="70"/>
      <c r="F27" s="70"/>
      <c r="G27" s="70"/>
      <c r="H27" s="70"/>
      <c r="I27" s="70"/>
      <c r="J27" s="70"/>
    </row>
    <row r="28" spans="2:10" s="25" customFormat="1" ht="13.95" customHeight="1" x14ac:dyDescent="0.2">
      <c r="B28" s="70"/>
      <c r="C28" s="70"/>
      <c r="D28" s="70"/>
      <c r="E28" s="70"/>
      <c r="F28" s="70"/>
      <c r="G28" s="70"/>
      <c r="H28" s="70"/>
      <c r="I28" s="70"/>
      <c r="J28" s="70"/>
    </row>
    <row r="29" spans="2:10" s="25" customFormat="1" ht="13.95" customHeight="1" x14ac:dyDescent="0.2">
      <c r="B29" s="70"/>
      <c r="C29" s="70"/>
      <c r="D29" s="70"/>
      <c r="E29" s="70"/>
      <c r="F29" s="70"/>
      <c r="G29" s="70"/>
      <c r="H29" s="70"/>
      <c r="I29" s="70"/>
      <c r="J29" s="70"/>
    </row>
    <row r="30" spans="2:10" s="25" customFormat="1" ht="13.95" customHeight="1" x14ac:dyDescent="0.2">
      <c r="B30" s="70"/>
      <c r="C30" s="70"/>
      <c r="D30" s="70"/>
      <c r="E30" s="70"/>
      <c r="F30" s="70"/>
      <c r="G30" s="70"/>
      <c r="H30" s="70"/>
      <c r="I30" s="70"/>
      <c r="J30" s="70"/>
    </row>
    <row r="31" spans="2:10" s="25" customFormat="1" ht="13.95" customHeight="1" x14ac:dyDescent="0.2">
      <c r="B31" s="70"/>
      <c r="C31" s="70"/>
      <c r="D31" s="70"/>
      <c r="E31" s="70"/>
      <c r="F31" s="70"/>
      <c r="G31" s="70"/>
      <c r="H31" s="70"/>
      <c r="I31" s="70"/>
      <c r="J31" s="70"/>
    </row>
    <row r="32" spans="2:10" s="25" customFormat="1" ht="13.95" customHeight="1" x14ac:dyDescent="0.2">
      <c r="B32" s="70"/>
      <c r="C32" s="70"/>
      <c r="D32" s="70"/>
      <c r="E32" s="70"/>
      <c r="F32" s="70"/>
      <c r="G32" s="70"/>
      <c r="H32" s="70"/>
      <c r="I32" s="70"/>
      <c r="J32" s="70"/>
    </row>
    <row r="33" spans="2:10" s="25" customFormat="1" ht="13.95" customHeight="1" x14ac:dyDescent="0.2">
      <c r="B33" s="70"/>
      <c r="C33" s="70"/>
      <c r="D33" s="70"/>
      <c r="E33" s="70"/>
      <c r="F33" s="70"/>
      <c r="G33" s="70"/>
      <c r="H33" s="70"/>
      <c r="I33" s="70"/>
      <c r="J33" s="70"/>
    </row>
    <row r="34" spans="2:10" s="25" customFormat="1" ht="13.95" customHeight="1" x14ac:dyDescent="0.2">
      <c r="B34" s="70"/>
      <c r="C34" s="70"/>
      <c r="D34" s="70"/>
      <c r="E34" s="70"/>
      <c r="F34" s="70"/>
      <c r="G34" s="70"/>
      <c r="H34" s="70"/>
      <c r="I34" s="70"/>
      <c r="J34" s="70"/>
    </row>
    <row r="35" spans="2:10" s="25" customFormat="1" ht="13.95" customHeight="1" x14ac:dyDescent="0.2">
      <c r="B35" s="70"/>
      <c r="C35" s="70"/>
      <c r="D35" s="70"/>
      <c r="E35" s="70"/>
      <c r="F35" s="70"/>
      <c r="G35" s="70"/>
      <c r="H35" s="70"/>
      <c r="I35" s="70"/>
      <c r="J35" s="70"/>
    </row>
    <row r="36" spans="2:10" s="25" customFormat="1" ht="13.95" customHeight="1" x14ac:dyDescent="0.2">
      <c r="B36" s="70"/>
      <c r="C36" s="70"/>
      <c r="D36" s="70"/>
      <c r="E36" s="70"/>
      <c r="F36" s="70"/>
      <c r="G36" s="70"/>
      <c r="H36" s="70"/>
      <c r="I36" s="70"/>
      <c r="J36" s="70"/>
    </row>
    <row r="37" spans="2:10" s="25" customFormat="1" ht="13.95" customHeight="1" x14ac:dyDescent="0.2">
      <c r="B37" s="70"/>
      <c r="C37" s="70"/>
      <c r="D37" s="70"/>
      <c r="E37" s="70"/>
      <c r="F37" s="70"/>
      <c r="G37" s="70"/>
      <c r="H37" s="70"/>
      <c r="I37" s="70"/>
      <c r="J37" s="70"/>
    </row>
    <row r="38" spans="2:10" s="25" customFormat="1" ht="13.95" customHeight="1" x14ac:dyDescent="0.2">
      <c r="B38" s="70"/>
      <c r="C38" s="70"/>
      <c r="D38" s="70"/>
      <c r="E38" s="70"/>
      <c r="F38" s="70"/>
      <c r="G38" s="70"/>
      <c r="H38" s="70"/>
      <c r="I38" s="70"/>
      <c r="J38" s="70"/>
    </row>
    <row r="39" spans="2:10" s="25" customFormat="1" ht="13.95" customHeight="1" x14ac:dyDescent="0.2">
      <c r="B39" s="70"/>
      <c r="C39" s="70"/>
      <c r="D39" s="70"/>
      <c r="E39" s="70"/>
      <c r="F39" s="70"/>
      <c r="G39" s="70"/>
      <c r="H39" s="70"/>
      <c r="I39" s="70"/>
      <c r="J39" s="70"/>
    </row>
    <row r="40" spans="2:10" s="25" customFormat="1" ht="13.95" customHeight="1" x14ac:dyDescent="0.2">
      <c r="B40" s="70"/>
      <c r="C40" s="70"/>
      <c r="D40" s="70"/>
      <c r="E40" s="70"/>
      <c r="F40" s="70"/>
      <c r="G40" s="70"/>
      <c r="H40" s="70"/>
      <c r="I40" s="70"/>
      <c r="J40" s="70"/>
    </row>
    <row r="41" spans="2:10" s="25" customFormat="1" ht="13.95" customHeight="1" x14ac:dyDescent="0.2">
      <c r="B41" s="70"/>
      <c r="C41" s="70"/>
      <c r="D41" s="70"/>
      <c r="E41" s="70"/>
      <c r="F41" s="70"/>
      <c r="G41" s="70"/>
      <c r="H41" s="70"/>
      <c r="I41" s="70"/>
      <c r="J41" s="70"/>
    </row>
    <row r="42" spans="2:10" s="25" customFormat="1" ht="13.95" customHeight="1" x14ac:dyDescent="0.2">
      <c r="B42" s="70"/>
      <c r="C42" s="70"/>
      <c r="D42" s="70"/>
      <c r="E42" s="70"/>
      <c r="F42" s="70"/>
      <c r="G42" s="70"/>
      <c r="H42" s="70"/>
      <c r="I42" s="70"/>
      <c r="J42" s="70"/>
    </row>
    <row r="43" spans="2:10" s="25" customFormat="1" ht="13.95" customHeight="1" x14ac:dyDescent="0.2">
      <c r="B43" s="70"/>
      <c r="C43" s="70"/>
      <c r="D43" s="70"/>
      <c r="E43" s="70"/>
      <c r="F43" s="70"/>
      <c r="G43" s="70"/>
      <c r="H43" s="70"/>
      <c r="I43" s="70"/>
      <c r="J43" s="70"/>
    </row>
    <row r="44" spans="2:10" s="25" customFormat="1" ht="13.95" customHeight="1" x14ac:dyDescent="0.2">
      <c r="B44" s="70"/>
      <c r="C44" s="70"/>
      <c r="D44" s="70"/>
      <c r="E44" s="70"/>
      <c r="F44" s="70"/>
      <c r="G44" s="70"/>
      <c r="H44" s="70"/>
      <c r="I44" s="70"/>
      <c r="J44" s="70"/>
    </row>
    <row r="45" spans="2:10" s="25" customFormat="1" ht="13.95" customHeight="1" x14ac:dyDescent="0.2">
      <c r="B45" s="70"/>
      <c r="C45" s="70"/>
      <c r="D45" s="70"/>
      <c r="E45" s="70"/>
      <c r="F45" s="70"/>
      <c r="G45" s="70"/>
      <c r="H45" s="70"/>
      <c r="I45" s="70"/>
      <c r="J45" s="70"/>
    </row>
    <row r="46" spans="2:10" s="25" customFormat="1" ht="13.95" customHeight="1" x14ac:dyDescent="0.2">
      <c r="B46" s="70"/>
      <c r="C46" s="70"/>
      <c r="D46" s="70"/>
      <c r="E46" s="70"/>
      <c r="F46" s="70"/>
      <c r="G46" s="70"/>
      <c r="H46" s="70"/>
      <c r="I46" s="70"/>
      <c r="J46" s="70"/>
    </row>
    <row r="47" spans="2:10" s="25" customFormat="1" ht="13.95" customHeight="1" x14ac:dyDescent="0.2">
      <c r="B47" s="70"/>
      <c r="C47" s="70"/>
      <c r="D47" s="70"/>
      <c r="E47" s="70"/>
      <c r="F47" s="70"/>
      <c r="G47" s="70"/>
      <c r="H47" s="70"/>
      <c r="I47" s="70"/>
      <c r="J47" s="70"/>
    </row>
    <row r="48" spans="2:10" s="25" customFormat="1" ht="13.95" customHeight="1" x14ac:dyDescent="0.2">
      <c r="B48" s="70"/>
      <c r="C48" s="70"/>
      <c r="D48" s="70"/>
      <c r="E48" s="70"/>
      <c r="F48" s="70"/>
      <c r="G48" s="70"/>
      <c r="H48" s="70"/>
      <c r="I48" s="70"/>
      <c r="J48" s="70"/>
    </row>
    <row r="49" spans="2:10" s="25" customFormat="1" ht="13.95" customHeight="1" x14ac:dyDescent="0.2">
      <c r="B49" s="70"/>
      <c r="C49" s="70"/>
      <c r="D49" s="70"/>
      <c r="E49" s="70"/>
      <c r="F49" s="70"/>
      <c r="G49" s="70"/>
      <c r="H49" s="70"/>
      <c r="I49" s="70"/>
      <c r="J49" s="70"/>
    </row>
    <row r="50" spans="2:10" s="25" customFormat="1" ht="13.95" customHeight="1" x14ac:dyDescent="0.2">
      <c r="B50" s="70"/>
      <c r="C50" s="70"/>
      <c r="D50" s="70"/>
      <c r="E50" s="70"/>
      <c r="F50" s="70"/>
      <c r="G50" s="70"/>
      <c r="H50" s="70"/>
      <c r="I50" s="70"/>
      <c r="J50" s="70"/>
    </row>
    <row r="51" spans="2:10" s="25" customFormat="1" ht="13.95" customHeight="1" x14ac:dyDescent="0.2">
      <c r="B51" s="70"/>
      <c r="C51" s="70"/>
      <c r="D51" s="70"/>
      <c r="E51" s="70"/>
      <c r="F51" s="70"/>
      <c r="G51" s="70"/>
      <c r="H51" s="70"/>
      <c r="I51" s="70"/>
      <c r="J51" s="70"/>
    </row>
    <row r="52" spans="2:10" s="25" customFormat="1" ht="13.95" customHeight="1" x14ac:dyDescent="0.2">
      <c r="B52" s="70"/>
      <c r="C52" s="70"/>
      <c r="D52" s="70"/>
      <c r="E52" s="70"/>
      <c r="F52" s="70"/>
      <c r="G52" s="70"/>
      <c r="H52" s="70"/>
      <c r="I52" s="70"/>
      <c r="J52" s="70"/>
    </row>
    <row r="53" spans="2:10" s="25" customFormat="1" ht="13.95" customHeight="1" x14ac:dyDescent="0.2">
      <c r="B53" s="70"/>
      <c r="C53" s="70"/>
      <c r="D53" s="70"/>
      <c r="E53" s="70"/>
      <c r="F53" s="70"/>
      <c r="G53" s="70"/>
      <c r="H53" s="70"/>
      <c r="I53" s="70"/>
      <c r="J53" s="70"/>
    </row>
    <row r="54" spans="2:10" s="25" customFormat="1" ht="13.95" customHeight="1" x14ac:dyDescent="0.2">
      <c r="B54" s="70"/>
      <c r="C54" s="70"/>
      <c r="D54" s="70"/>
      <c r="E54" s="70"/>
      <c r="F54" s="70"/>
      <c r="G54" s="70"/>
      <c r="H54" s="70"/>
      <c r="I54" s="70"/>
      <c r="J54" s="70"/>
    </row>
    <row r="55" spans="2:10" s="25" customFormat="1" ht="13.95" customHeight="1" x14ac:dyDescent="0.2">
      <c r="B55" s="70"/>
      <c r="C55" s="70"/>
      <c r="D55" s="70"/>
      <c r="E55" s="70"/>
      <c r="F55" s="70"/>
      <c r="G55" s="70"/>
      <c r="H55" s="70"/>
      <c r="I55" s="70"/>
      <c r="J55" s="70"/>
    </row>
    <row r="56" spans="2:10" s="25" customFormat="1" ht="13.95" customHeight="1" x14ac:dyDescent="0.2">
      <c r="B56" s="70"/>
      <c r="C56" s="70"/>
      <c r="D56" s="70"/>
      <c r="E56" s="70"/>
      <c r="F56" s="70"/>
      <c r="G56" s="70"/>
      <c r="H56" s="70"/>
      <c r="I56" s="70"/>
      <c r="J56" s="70"/>
    </row>
    <row r="57" spans="2:10" s="25" customFormat="1" ht="13.95" customHeight="1" x14ac:dyDescent="0.2">
      <c r="B57" s="70"/>
      <c r="C57" s="70"/>
      <c r="D57" s="70"/>
      <c r="E57" s="70"/>
      <c r="F57" s="70"/>
      <c r="G57" s="70"/>
      <c r="H57" s="70"/>
      <c r="I57" s="70"/>
      <c r="J57" s="70"/>
    </row>
    <row r="58" spans="2:10" s="25" customFormat="1" ht="13.95" customHeight="1" x14ac:dyDescent="0.2">
      <c r="B58" s="70"/>
      <c r="C58" s="70"/>
      <c r="D58" s="70"/>
      <c r="E58" s="70"/>
      <c r="F58" s="70"/>
      <c r="G58" s="70"/>
      <c r="H58" s="70"/>
      <c r="I58" s="70"/>
      <c r="J58" s="70"/>
    </row>
    <row r="59" spans="2:10" s="25" customFormat="1" ht="13.95" customHeight="1" x14ac:dyDescent="0.2">
      <c r="B59" s="70"/>
      <c r="C59" s="70"/>
      <c r="D59" s="70"/>
      <c r="E59" s="70"/>
      <c r="F59" s="70"/>
      <c r="G59" s="70"/>
      <c r="H59" s="70"/>
      <c r="I59" s="70"/>
      <c r="J59" s="70"/>
    </row>
    <row r="60" spans="2:10" s="25" customFormat="1" ht="13.95" customHeight="1" x14ac:dyDescent="0.2">
      <c r="B60" s="70"/>
      <c r="C60" s="70"/>
      <c r="D60" s="70"/>
      <c r="E60" s="70"/>
      <c r="F60" s="70"/>
      <c r="G60" s="70"/>
      <c r="H60" s="70"/>
      <c r="I60" s="70"/>
      <c r="J60" s="70"/>
    </row>
    <row r="61" spans="2:10" s="25" customFormat="1" ht="13.95" customHeight="1" x14ac:dyDescent="0.2">
      <c r="B61" s="70"/>
      <c r="C61" s="70"/>
      <c r="D61" s="70"/>
      <c r="E61" s="70"/>
      <c r="F61" s="70"/>
      <c r="G61" s="70"/>
      <c r="H61" s="70"/>
      <c r="I61" s="70"/>
      <c r="J61" s="70"/>
    </row>
    <row r="62" spans="2:10" s="25" customFormat="1" ht="13.95" customHeight="1" x14ac:dyDescent="0.2">
      <c r="B62" s="70"/>
      <c r="C62" s="70"/>
      <c r="D62" s="70"/>
      <c r="E62" s="70"/>
      <c r="F62" s="70"/>
      <c r="G62" s="70"/>
      <c r="H62" s="70"/>
      <c r="I62" s="70"/>
      <c r="J62" s="70"/>
    </row>
    <row r="63" spans="2:10" s="25" customFormat="1" ht="13.95" customHeight="1" x14ac:dyDescent="0.2">
      <c r="B63" s="70"/>
      <c r="C63" s="70"/>
      <c r="D63" s="70"/>
      <c r="E63" s="70"/>
      <c r="F63" s="70"/>
      <c r="G63" s="70"/>
      <c r="H63" s="70"/>
      <c r="I63" s="70"/>
      <c r="J63" s="70"/>
    </row>
    <row r="64" spans="2:10" s="25" customFormat="1" ht="13.95" customHeight="1" x14ac:dyDescent="0.2">
      <c r="B64" s="70"/>
      <c r="C64" s="70"/>
      <c r="D64" s="70"/>
      <c r="E64" s="70"/>
      <c r="F64" s="70"/>
      <c r="G64" s="70"/>
      <c r="H64" s="70"/>
      <c r="I64" s="70"/>
      <c r="J64" s="70"/>
    </row>
    <row r="65" spans="2:10" s="25" customFormat="1" ht="13.95" customHeight="1" x14ac:dyDescent="0.2">
      <c r="B65" s="70"/>
      <c r="C65" s="70"/>
      <c r="D65" s="70"/>
      <c r="E65" s="70"/>
      <c r="F65" s="70"/>
      <c r="G65" s="70"/>
      <c r="H65" s="70"/>
      <c r="I65" s="70"/>
      <c r="J65" s="70"/>
    </row>
    <row r="66" spans="2:10" s="25" customFormat="1" ht="13.95" customHeight="1" x14ac:dyDescent="0.2">
      <c r="B66" s="70"/>
      <c r="C66" s="70"/>
      <c r="D66" s="70"/>
      <c r="E66" s="70"/>
      <c r="F66" s="70"/>
      <c r="G66" s="70"/>
      <c r="H66" s="70"/>
      <c r="I66" s="70"/>
      <c r="J66" s="70"/>
    </row>
    <row r="67" spans="2:10" s="25" customFormat="1" ht="13.95" customHeight="1" x14ac:dyDescent="0.2">
      <c r="B67" s="70"/>
      <c r="C67" s="70"/>
      <c r="D67" s="70"/>
      <c r="E67" s="70"/>
      <c r="F67" s="70"/>
      <c r="G67" s="70"/>
      <c r="H67" s="70"/>
      <c r="I67" s="70"/>
      <c r="J67" s="70"/>
    </row>
    <row r="68" spans="2:10" s="25" customFormat="1" ht="13.95" customHeight="1" x14ac:dyDescent="0.2">
      <c r="B68" s="70"/>
      <c r="C68" s="70"/>
      <c r="D68" s="70"/>
      <c r="E68" s="70"/>
      <c r="F68" s="70"/>
      <c r="G68" s="70"/>
      <c r="H68" s="70"/>
      <c r="I68" s="70"/>
      <c r="J68" s="70"/>
    </row>
    <row r="69" spans="2:10" s="25" customFormat="1" ht="13.95" customHeight="1" x14ac:dyDescent="0.2">
      <c r="B69" s="70"/>
      <c r="C69" s="70"/>
      <c r="D69" s="70"/>
      <c r="E69" s="70"/>
      <c r="F69" s="70"/>
      <c r="G69" s="70"/>
      <c r="H69" s="70"/>
      <c r="I69" s="70"/>
      <c r="J69" s="70"/>
    </row>
    <row r="70" spans="2:10" s="25" customFormat="1" ht="13.95" customHeight="1" x14ac:dyDescent="0.2">
      <c r="B70" s="70"/>
      <c r="C70" s="70"/>
      <c r="D70" s="70"/>
      <c r="E70" s="70"/>
      <c r="F70" s="70"/>
      <c r="G70" s="70"/>
      <c r="H70" s="70"/>
      <c r="I70" s="70"/>
      <c r="J70" s="70"/>
    </row>
    <row r="71" spans="2:10" s="25" customFormat="1" ht="13.95" customHeight="1" x14ac:dyDescent="0.2">
      <c r="B71" s="70"/>
      <c r="C71" s="70"/>
      <c r="D71" s="70"/>
      <c r="E71" s="70"/>
      <c r="F71" s="70"/>
      <c r="G71" s="70"/>
      <c r="H71" s="70"/>
      <c r="I71" s="70"/>
      <c r="J71" s="70"/>
    </row>
    <row r="72" spans="2:10" s="25" customFormat="1" ht="13.95" customHeight="1" x14ac:dyDescent="0.2">
      <c r="B72" s="70"/>
      <c r="C72" s="70"/>
      <c r="D72" s="70"/>
      <c r="E72" s="70"/>
      <c r="F72" s="70"/>
      <c r="G72" s="70"/>
      <c r="H72" s="70"/>
      <c r="I72" s="70"/>
      <c r="J72" s="70"/>
    </row>
    <row r="73" spans="2:10" s="25" customFormat="1" ht="13.95" customHeight="1" x14ac:dyDescent="0.2">
      <c r="B73" s="70"/>
      <c r="C73" s="70"/>
      <c r="D73" s="70"/>
      <c r="E73" s="70"/>
      <c r="F73" s="70"/>
      <c r="G73" s="70"/>
      <c r="H73" s="70"/>
      <c r="I73" s="70"/>
      <c r="J73" s="70"/>
    </row>
    <row r="74" spans="2:10" s="25" customFormat="1" ht="13.95" customHeight="1" x14ac:dyDescent="0.2">
      <c r="B74" s="70"/>
      <c r="C74" s="70"/>
      <c r="D74" s="70"/>
      <c r="E74" s="70"/>
      <c r="F74" s="70"/>
      <c r="G74" s="70"/>
      <c r="H74" s="70"/>
      <c r="I74" s="70"/>
      <c r="J74" s="70"/>
    </row>
    <row r="75" spans="2:10" s="25" customFormat="1" ht="13.95" customHeight="1" x14ac:dyDescent="0.2">
      <c r="B75" s="70"/>
      <c r="C75" s="70"/>
      <c r="D75" s="70"/>
      <c r="E75" s="70"/>
      <c r="F75" s="70"/>
      <c r="G75" s="70"/>
      <c r="H75" s="70"/>
      <c r="I75" s="70"/>
      <c r="J75" s="70"/>
    </row>
    <row r="76" spans="2:10" s="25" customFormat="1" ht="13.95" customHeight="1" x14ac:dyDescent="0.2">
      <c r="B76" s="70"/>
      <c r="C76" s="70"/>
      <c r="D76" s="70"/>
      <c r="E76" s="70"/>
      <c r="F76" s="70"/>
      <c r="G76" s="70"/>
      <c r="H76" s="70"/>
      <c r="I76" s="70"/>
      <c r="J76" s="70"/>
    </row>
    <row r="77" spans="2:10" s="25" customFormat="1" ht="13.95" customHeight="1" x14ac:dyDescent="0.2">
      <c r="B77" s="70"/>
      <c r="C77" s="70"/>
      <c r="D77" s="70"/>
      <c r="E77" s="70"/>
      <c r="F77" s="70"/>
      <c r="G77" s="70"/>
      <c r="H77" s="70"/>
      <c r="I77" s="70"/>
      <c r="J77" s="70"/>
    </row>
    <row r="78" spans="2:10" s="25" customFormat="1" ht="13.95" customHeight="1" x14ac:dyDescent="0.2">
      <c r="B78" s="70"/>
      <c r="C78" s="70"/>
      <c r="D78" s="70"/>
      <c r="E78" s="70"/>
      <c r="F78" s="70"/>
      <c r="G78" s="70"/>
      <c r="H78" s="70"/>
      <c r="I78" s="70"/>
      <c r="J78" s="70"/>
    </row>
    <row r="79" spans="2:10" s="25" customFormat="1" ht="13.95" customHeight="1" x14ac:dyDescent="0.2">
      <c r="B79" s="70"/>
      <c r="C79" s="70"/>
      <c r="D79" s="70"/>
      <c r="E79" s="70"/>
      <c r="F79" s="70"/>
      <c r="G79" s="70"/>
      <c r="H79" s="70"/>
      <c r="I79" s="70"/>
      <c r="J79" s="70"/>
    </row>
    <row r="80" spans="2:10" s="25" customFormat="1" ht="13.95" customHeight="1" x14ac:dyDescent="0.2">
      <c r="B80" s="70"/>
      <c r="C80" s="70"/>
      <c r="D80" s="70"/>
      <c r="E80" s="70"/>
      <c r="F80" s="70"/>
      <c r="G80" s="70"/>
      <c r="H80" s="70"/>
      <c r="I80" s="70"/>
      <c r="J80" s="70"/>
    </row>
    <row r="81" spans="2:10" s="25" customFormat="1" ht="13.95" customHeight="1" x14ac:dyDescent="0.2">
      <c r="B81" s="70"/>
      <c r="C81" s="70"/>
      <c r="D81" s="70"/>
      <c r="E81" s="70"/>
      <c r="F81" s="70"/>
      <c r="G81" s="70"/>
      <c r="H81" s="70"/>
      <c r="I81" s="70"/>
      <c r="J81" s="70"/>
    </row>
    <row r="82" spans="2:10" s="25" customFormat="1" ht="13.95" customHeight="1" x14ac:dyDescent="0.2">
      <c r="B82" s="70"/>
      <c r="C82" s="70"/>
      <c r="D82" s="70"/>
      <c r="E82" s="70"/>
      <c r="F82" s="70"/>
      <c r="G82" s="70"/>
      <c r="H82" s="70"/>
      <c r="I82" s="70"/>
      <c r="J82" s="70"/>
    </row>
    <row r="83" spans="2:10" s="25" customFormat="1" ht="13.95" customHeight="1" x14ac:dyDescent="0.2">
      <c r="B83" s="70"/>
      <c r="C83" s="70"/>
      <c r="D83" s="70"/>
      <c r="E83" s="70"/>
      <c r="F83" s="70"/>
      <c r="G83" s="70"/>
      <c r="H83" s="70"/>
      <c r="I83" s="70"/>
      <c r="J83" s="70"/>
    </row>
    <row r="84" spans="2:10" s="25" customFormat="1" ht="13.95" customHeight="1" x14ac:dyDescent="0.2">
      <c r="B84" s="70"/>
      <c r="C84" s="70"/>
      <c r="D84" s="70"/>
      <c r="E84" s="70"/>
      <c r="F84" s="70"/>
      <c r="G84" s="70"/>
      <c r="H84" s="70"/>
      <c r="I84" s="70"/>
      <c r="J84" s="70"/>
    </row>
    <row r="85" spans="2:10" s="25" customFormat="1" ht="13.95" customHeight="1" x14ac:dyDescent="0.2">
      <c r="B85" s="70"/>
      <c r="C85" s="70"/>
      <c r="D85" s="70"/>
      <c r="E85" s="70"/>
      <c r="F85" s="70"/>
      <c r="G85" s="70"/>
      <c r="H85" s="70"/>
      <c r="I85" s="70"/>
      <c r="J85" s="70"/>
    </row>
    <row r="86" spans="2:10" s="25" customFormat="1" ht="13.95" customHeight="1" x14ac:dyDescent="0.2">
      <c r="B86" s="70"/>
      <c r="C86" s="70"/>
      <c r="D86" s="70"/>
      <c r="E86" s="70"/>
      <c r="F86" s="70"/>
      <c r="G86" s="70"/>
      <c r="H86" s="70"/>
      <c r="I86" s="70"/>
      <c r="J86" s="70"/>
    </row>
    <row r="87" spans="2:10" s="25" customFormat="1" ht="13.95" customHeight="1" x14ac:dyDescent="0.2">
      <c r="B87" s="70"/>
      <c r="C87" s="70"/>
      <c r="D87" s="70"/>
      <c r="E87" s="70"/>
      <c r="F87" s="70"/>
      <c r="G87" s="70"/>
      <c r="H87" s="70"/>
      <c r="I87" s="70"/>
      <c r="J87" s="70"/>
    </row>
    <row r="88" spans="2:10" s="25" customFormat="1" ht="13.95" customHeight="1" x14ac:dyDescent="0.2">
      <c r="B88" s="70"/>
      <c r="C88" s="70"/>
      <c r="D88" s="70"/>
      <c r="E88" s="70"/>
      <c r="F88" s="70"/>
      <c r="G88" s="70"/>
      <c r="H88" s="70"/>
      <c r="I88" s="70"/>
      <c r="J88" s="70"/>
    </row>
    <row r="89" spans="2:10" s="25" customFormat="1" ht="13.95" customHeight="1" x14ac:dyDescent="0.2">
      <c r="B89" s="70"/>
      <c r="C89" s="70"/>
      <c r="D89" s="70"/>
      <c r="E89" s="70"/>
      <c r="F89" s="70"/>
      <c r="G89" s="70"/>
      <c r="H89" s="70"/>
      <c r="I89" s="70"/>
      <c r="J89" s="70"/>
    </row>
    <row r="90" spans="2:10" s="25" customFormat="1" ht="13.95" customHeight="1" x14ac:dyDescent="0.2">
      <c r="B90" s="70"/>
      <c r="C90" s="70"/>
      <c r="D90" s="70"/>
      <c r="E90" s="70"/>
      <c r="F90" s="70"/>
      <c r="G90" s="70"/>
      <c r="H90" s="70"/>
      <c r="I90" s="70"/>
      <c r="J90" s="70"/>
    </row>
    <row r="91" spans="2:10" s="25" customFormat="1" ht="13.95" customHeight="1" x14ac:dyDescent="0.2">
      <c r="B91" s="70"/>
      <c r="C91" s="70"/>
      <c r="D91" s="70"/>
      <c r="E91" s="70"/>
      <c r="F91" s="70"/>
      <c r="G91" s="70"/>
      <c r="H91" s="70"/>
      <c r="I91" s="70"/>
      <c r="J91" s="70"/>
    </row>
    <row r="92" spans="2:10" s="25" customFormat="1" ht="13.95" customHeight="1" x14ac:dyDescent="0.2">
      <c r="B92" s="70"/>
      <c r="C92" s="70"/>
      <c r="D92" s="70"/>
      <c r="E92" s="70"/>
      <c r="F92" s="70"/>
      <c r="G92" s="70"/>
      <c r="H92" s="70"/>
      <c r="I92" s="70"/>
      <c r="J92" s="70"/>
    </row>
    <row r="93" spans="2:10" s="25" customFormat="1" ht="13.95" customHeight="1" x14ac:dyDescent="0.2">
      <c r="B93" s="70"/>
      <c r="C93" s="70"/>
      <c r="D93" s="70"/>
      <c r="E93" s="70"/>
      <c r="F93" s="70"/>
      <c r="G93" s="70"/>
      <c r="H93" s="70"/>
      <c r="I93" s="70"/>
      <c r="J93" s="70"/>
    </row>
    <row r="94" spans="2:10" s="25" customFormat="1" ht="13.95" customHeight="1" x14ac:dyDescent="0.2">
      <c r="B94" s="70"/>
      <c r="C94" s="70"/>
      <c r="D94" s="70"/>
      <c r="E94" s="70"/>
      <c r="F94" s="70"/>
      <c r="G94" s="70"/>
      <c r="H94" s="70"/>
      <c r="I94" s="70"/>
      <c r="J94" s="70"/>
    </row>
    <row r="95" spans="2:10" s="25" customFormat="1" ht="13.95" customHeight="1" x14ac:dyDescent="0.2">
      <c r="B95" s="70"/>
      <c r="C95" s="70"/>
      <c r="D95" s="70"/>
      <c r="E95" s="70"/>
      <c r="F95" s="70"/>
      <c r="G95" s="70"/>
      <c r="H95" s="70"/>
      <c r="I95" s="70"/>
      <c r="J95" s="70"/>
    </row>
    <row r="96" spans="2:10" s="25" customFormat="1" ht="13.95" customHeight="1" x14ac:dyDescent="0.2">
      <c r="B96" s="70"/>
      <c r="C96" s="70"/>
      <c r="D96" s="70"/>
      <c r="E96" s="70"/>
      <c r="F96" s="70"/>
      <c r="G96" s="70"/>
      <c r="H96" s="70"/>
      <c r="I96" s="70"/>
      <c r="J96" s="70"/>
    </row>
    <row r="97" spans="2:10" s="25" customFormat="1" ht="13.95" customHeight="1" x14ac:dyDescent="0.2">
      <c r="B97" s="70"/>
      <c r="C97" s="70"/>
      <c r="D97" s="70"/>
      <c r="E97" s="70"/>
      <c r="F97" s="70"/>
      <c r="G97" s="70"/>
      <c r="H97" s="70"/>
      <c r="I97" s="70"/>
      <c r="J97" s="70"/>
    </row>
    <row r="98" spans="2:10" s="25" customFormat="1" ht="13.95" customHeight="1" x14ac:dyDescent="0.2">
      <c r="B98" s="70"/>
      <c r="C98" s="70"/>
      <c r="D98" s="70"/>
      <c r="E98" s="70"/>
      <c r="F98" s="70"/>
      <c r="G98" s="70"/>
      <c r="H98" s="70"/>
      <c r="I98" s="70"/>
      <c r="J98" s="70"/>
    </row>
    <row r="99" spans="2:10" s="25" customFormat="1" ht="13.95" customHeight="1" x14ac:dyDescent="0.2">
      <c r="B99" s="70"/>
      <c r="C99" s="70"/>
      <c r="D99" s="70"/>
      <c r="E99" s="70"/>
      <c r="F99" s="70"/>
      <c r="G99" s="70"/>
      <c r="H99" s="70"/>
      <c r="I99" s="70"/>
      <c r="J99" s="70"/>
    </row>
    <row r="100" spans="2:10" s="25" customFormat="1" ht="13.95" customHeight="1" x14ac:dyDescent="0.2">
      <c r="B100" s="70"/>
      <c r="C100" s="70"/>
      <c r="D100" s="70"/>
      <c r="E100" s="70"/>
      <c r="F100" s="70"/>
      <c r="G100" s="70"/>
      <c r="H100" s="70"/>
      <c r="I100" s="70"/>
      <c r="J100" s="70"/>
    </row>
    <row r="101" spans="2:10" s="25" customFormat="1" ht="13.95" customHeight="1" x14ac:dyDescent="0.2">
      <c r="B101" s="70"/>
      <c r="C101" s="70"/>
      <c r="D101" s="70"/>
      <c r="E101" s="70"/>
      <c r="F101" s="70"/>
      <c r="G101" s="70"/>
      <c r="H101" s="70"/>
      <c r="I101" s="70"/>
      <c r="J101" s="70"/>
    </row>
    <row r="102" spans="2:10" s="25" customFormat="1" ht="13.95" customHeight="1" x14ac:dyDescent="0.2">
      <c r="B102" s="70"/>
      <c r="C102" s="70"/>
      <c r="D102" s="70"/>
      <c r="E102" s="70"/>
      <c r="F102" s="70"/>
      <c r="G102" s="70"/>
      <c r="H102" s="70"/>
      <c r="I102" s="70"/>
      <c r="J102" s="70"/>
    </row>
    <row r="103" spans="2:10" s="25" customFormat="1" ht="13.95" customHeight="1" x14ac:dyDescent="0.2">
      <c r="B103" s="70"/>
      <c r="C103" s="70"/>
      <c r="D103" s="70"/>
      <c r="E103" s="70"/>
      <c r="F103" s="70"/>
      <c r="G103" s="70"/>
      <c r="H103" s="70"/>
      <c r="I103" s="70"/>
      <c r="J103" s="70"/>
    </row>
    <row r="104" spans="2:10" s="25" customFormat="1" ht="13.95" customHeight="1" x14ac:dyDescent="0.2">
      <c r="B104" s="70"/>
      <c r="C104" s="70"/>
      <c r="D104" s="70"/>
      <c r="E104" s="70"/>
      <c r="F104" s="70"/>
      <c r="G104" s="70"/>
      <c r="H104" s="70"/>
      <c r="I104" s="70"/>
      <c r="J104" s="70"/>
    </row>
    <row r="105" spans="2:10" s="25" customFormat="1" ht="13.95" customHeight="1" x14ac:dyDescent="0.2">
      <c r="B105" s="70"/>
      <c r="C105" s="70"/>
      <c r="D105" s="70"/>
      <c r="E105" s="70"/>
      <c r="F105" s="70"/>
      <c r="G105" s="70"/>
      <c r="H105" s="70"/>
      <c r="I105" s="70"/>
      <c r="J105" s="70"/>
    </row>
    <row r="106" spans="2:10" s="25" customFormat="1" ht="13.95" customHeight="1" x14ac:dyDescent="0.2">
      <c r="B106" s="70"/>
      <c r="C106" s="70"/>
      <c r="D106" s="70"/>
      <c r="E106" s="70"/>
      <c r="F106" s="70"/>
      <c r="G106" s="70"/>
      <c r="H106" s="70"/>
      <c r="I106" s="70"/>
      <c r="J106" s="70"/>
    </row>
    <row r="107" spans="2:10" s="25" customFormat="1" ht="13.95" customHeight="1" x14ac:dyDescent="0.2">
      <c r="B107" s="70"/>
      <c r="C107" s="70"/>
      <c r="D107" s="70"/>
      <c r="E107" s="70"/>
      <c r="F107" s="70"/>
      <c r="G107" s="70"/>
      <c r="H107" s="70"/>
      <c r="I107" s="70"/>
      <c r="J107" s="70"/>
    </row>
    <row r="108" spans="2:10" s="25" customFormat="1" ht="13.95" customHeight="1" x14ac:dyDescent="0.2">
      <c r="B108" s="70"/>
      <c r="C108" s="70"/>
      <c r="D108" s="70"/>
      <c r="E108" s="70"/>
      <c r="F108" s="70"/>
      <c r="G108" s="70"/>
      <c r="H108" s="70"/>
      <c r="I108" s="70"/>
      <c r="J108" s="70"/>
    </row>
    <row r="109" spans="2:10" s="25" customFormat="1" ht="13.95" customHeight="1" x14ac:dyDescent="0.2">
      <c r="B109" s="70"/>
      <c r="C109" s="70"/>
      <c r="D109" s="70"/>
      <c r="E109" s="70"/>
      <c r="F109" s="70"/>
      <c r="G109" s="70"/>
      <c r="H109" s="70"/>
      <c r="I109" s="70"/>
      <c r="J109" s="70"/>
    </row>
    <row r="110" spans="2:10" s="25" customFormat="1" ht="13.95" customHeight="1" x14ac:dyDescent="0.2">
      <c r="B110" s="70"/>
      <c r="C110" s="70"/>
      <c r="D110" s="70"/>
      <c r="E110" s="70"/>
      <c r="F110" s="70"/>
      <c r="G110" s="70"/>
      <c r="H110" s="70"/>
      <c r="I110" s="70"/>
      <c r="J110" s="70"/>
    </row>
    <row r="111" spans="2:10" s="25" customFormat="1" ht="13.95" customHeight="1" x14ac:dyDescent="0.2">
      <c r="B111" s="70"/>
      <c r="C111" s="70"/>
      <c r="D111" s="70"/>
      <c r="E111" s="70"/>
      <c r="F111" s="70"/>
      <c r="G111" s="70"/>
      <c r="H111" s="70"/>
      <c r="I111" s="70"/>
      <c r="J111" s="70"/>
    </row>
    <row r="112" spans="2:10" s="25" customFormat="1" ht="13.95" customHeight="1" x14ac:dyDescent="0.2">
      <c r="B112" s="70"/>
      <c r="C112" s="70"/>
      <c r="D112" s="70"/>
      <c r="E112" s="70"/>
      <c r="F112" s="70"/>
      <c r="G112" s="70"/>
      <c r="H112" s="70"/>
      <c r="I112" s="70"/>
      <c r="J112" s="70"/>
    </row>
    <row r="113" spans="2:10" s="25" customFormat="1" ht="13.95" customHeight="1" x14ac:dyDescent="0.2">
      <c r="B113" s="70"/>
      <c r="C113" s="70"/>
      <c r="D113" s="70"/>
      <c r="E113" s="70"/>
      <c r="F113" s="70"/>
      <c r="G113" s="70"/>
      <c r="H113" s="70"/>
      <c r="I113" s="70"/>
      <c r="J113" s="70"/>
    </row>
    <row r="114" spans="2:10" s="25" customFormat="1" ht="13.95" customHeight="1" x14ac:dyDescent="0.2">
      <c r="B114" s="70"/>
      <c r="C114" s="70"/>
      <c r="D114" s="70"/>
      <c r="E114" s="70"/>
      <c r="F114" s="70"/>
      <c r="G114" s="70"/>
      <c r="H114" s="70"/>
      <c r="I114" s="70"/>
      <c r="J114" s="70"/>
    </row>
    <row r="115" spans="2:10" s="25" customFormat="1" ht="13.95" customHeight="1" x14ac:dyDescent="0.2">
      <c r="B115" s="70"/>
      <c r="C115" s="70"/>
      <c r="D115" s="70"/>
      <c r="E115" s="70"/>
      <c r="F115" s="70"/>
      <c r="G115" s="70"/>
      <c r="H115" s="70"/>
      <c r="I115" s="70"/>
      <c r="J115" s="70"/>
    </row>
    <row r="116" spans="2:10" s="25" customFormat="1" ht="13.95" customHeight="1" x14ac:dyDescent="0.2">
      <c r="B116" s="70"/>
      <c r="C116" s="70"/>
      <c r="D116" s="70"/>
      <c r="E116" s="70"/>
      <c r="F116" s="70"/>
      <c r="G116" s="70"/>
      <c r="H116" s="70"/>
      <c r="I116" s="70"/>
      <c r="J116" s="70"/>
    </row>
    <row r="117" spans="2:10" s="25" customFormat="1" ht="13.95" customHeight="1" x14ac:dyDescent="0.2">
      <c r="B117" s="70"/>
      <c r="C117" s="70"/>
      <c r="D117" s="70"/>
      <c r="E117" s="70"/>
      <c r="F117" s="70"/>
      <c r="G117" s="70"/>
      <c r="H117" s="70"/>
      <c r="I117" s="70"/>
      <c r="J117" s="70"/>
    </row>
    <row r="118" spans="2:10" s="25" customFormat="1" ht="13.95" customHeight="1" x14ac:dyDescent="0.2">
      <c r="B118" s="70"/>
      <c r="C118" s="70"/>
      <c r="D118" s="70"/>
      <c r="E118" s="70"/>
      <c r="F118" s="70"/>
      <c r="G118" s="70"/>
      <c r="H118" s="70"/>
      <c r="I118" s="70"/>
      <c r="J118" s="70"/>
    </row>
    <row r="119" spans="2:10" s="25" customFormat="1" ht="13.95" customHeight="1" x14ac:dyDescent="0.2">
      <c r="B119" s="70"/>
      <c r="C119" s="70"/>
      <c r="D119" s="70"/>
      <c r="E119" s="70"/>
      <c r="F119" s="70"/>
      <c r="G119" s="70"/>
      <c r="H119" s="70"/>
      <c r="I119" s="70"/>
      <c r="J119" s="70"/>
    </row>
    <row r="120" spans="2:10" s="25" customFormat="1" ht="13.95" customHeight="1" x14ac:dyDescent="0.2">
      <c r="B120" s="70"/>
      <c r="C120" s="70"/>
      <c r="D120" s="70"/>
      <c r="E120" s="70"/>
      <c r="F120" s="70"/>
      <c r="G120" s="70"/>
      <c r="H120" s="70"/>
      <c r="I120" s="70"/>
      <c r="J120" s="70"/>
    </row>
    <row r="121" spans="2:10" s="25" customFormat="1" ht="13.95" customHeight="1" x14ac:dyDescent="0.2">
      <c r="B121" s="70"/>
      <c r="C121" s="70"/>
      <c r="D121" s="70"/>
      <c r="E121" s="70"/>
      <c r="F121" s="70"/>
      <c r="G121" s="70"/>
      <c r="H121" s="70"/>
      <c r="I121" s="70"/>
      <c r="J121" s="70"/>
    </row>
    <row r="122" spans="2:10" s="25" customFormat="1" ht="13.95" customHeight="1" x14ac:dyDescent="0.2">
      <c r="B122" s="70"/>
      <c r="C122" s="70"/>
      <c r="D122" s="70"/>
      <c r="E122" s="70"/>
      <c r="F122" s="70"/>
      <c r="G122" s="70"/>
      <c r="H122" s="70"/>
      <c r="I122" s="70"/>
      <c r="J122" s="70"/>
    </row>
    <row r="123" spans="2:10" s="25" customFormat="1" ht="13.95" customHeight="1" x14ac:dyDescent="0.2">
      <c r="B123" s="70"/>
      <c r="C123" s="70"/>
      <c r="D123" s="70"/>
      <c r="E123" s="70"/>
      <c r="F123" s="70"/>
      <c r="G123" s="70"/>
      <c r="H123" s="70"/>
      <c r="I123" s="70"/>
      <c r="J123" s="70"/>
    </row>
    <row r="124" spans="2:10" s="25" customFormat="1" ht="13.95" customHeight="1" x14ac:dyDescent="0.2">
      <c r="B124" s="70"/>
      <c r="C124" s="70"/>
      <c r="D124" s="70"/>
      <c r="E124" s="70"/>
      <c r="F124" s="70"/>
      <c r="G124" s="70"/>
      <c r="H124" s="70"/>
      <c r="I124" s="70"/>
      <c r="J124" s="70"/>
    </row>
    <row r="125" spans="2:10" s="25" customFormat="1" ht="13.95" customHeight="1" x14ac:dyDescent="0.2">
      <c r="B125" s="70"/>
      <c r="C125" s="70"/>
      <c r="D125" s="70"/>
      <c r="E125" s="70"/>
      <c r="F125" s="70"/>
      <c r="G125" s="70"/>
      <c r="H125" s="70"/>
      <c r="I125" s="70"/>
      <c r="J125" s="70"/>
    </row>
    <row r="126" spans="2:10" s="25" customFormat="1" ht="13.95" customHeight="1" x14ac:dyDescent="0.2">
      <c r="B126" s="70"/>
      <c r="C126" s="70"/>
      <c r="D126" s="70"/>
      <c r="E126" s="70"/>
      <c r="F126" s="70"/>
      <c r="G126" s="70"/>
      <c r="H126" s="70"/>
      <c r="I126" s="70"/>
      <c r="J126" s="70"/>
    </row>
    <row r="127" spans="2:10" s="25" customFormat="1" ht="13.95" customHeight="1" x14ac:dyDescent="0.2">
      <c r="B127" s="70"/>
      <c r="C127" s="70"/>
      <c r="D127" s="70"/>
      <c r="E127" s="70"/>
      <c r="F127" s="70"/>
      <c r="G127" s="70"/>
      <c r="H127" s="70"/>
      <c r="I127" s="70"/>
      <c r="J127" s="70"/>
    </row>
    <row r="128" spans="2:10" s="25" customFormat="1" ht="13.95" customHeight="1" x14ac:dyDescent="0.2">
      <c r="B128" s="70"/>
      <c r="C128" s="70"/>
      <c r="D128" s="70"/>
      <c r="E128" s="70"/>
      <c r="F128" s="70"/>
      <c r="G128" s="70"/>
      <c r="H128" s="70"/>
      <c r="I128" s="70"/>
      <c r="J128" s="70"/>
    </row>
    <row r="129" spans="2:10" s="25" customFormat="1" ht="13.95" customHeight="1" x14ac:dyDescent="0.2">
      <c r="B129" s="70"/>
      <c r="C129" s="70"/>
      <c r="D129" s="70"/>
      <c r="E129" s="70"/>
      <c r="F129" s="70"/>
      <c r="G129" s="70"/>
      <c r="H129" s="70"/>
      <c r="I129" s="70"/>
      <c r="J129" s="70"/>
    </row>
    <row r="130" spans="2:10" s="25" customFormat="1" ht="13.95" customHeight="1" x14ac:dyDescent="0.2">
      <c r="B130" s="70"/>
      <c r="C130" s="70"/>
      <c r="D130" s="70"/>
      <c r="E130" s="70"/>
      <c r="F130" s="70"/>
      <c r="G130" s="70"/>
      <c r="H130" s="70"/>
      <c r="I130" s="70"/>
      <c r="J130" s="70"/>
    </row>
    <row r="131" spans="2:10" s="25" customFormat="1" ht="13.95" customHeight="1" x14ac:dyDescent="0.2">
      <c r="B131" s="70"/>
      <c r="C131" s="70"/>
      <c r="D131" s="70"/>
      <c r="E131" s="70"/>
      <c r="F131" s="70"/>
      <c r="G131" s="70"/>
      <c r="H131" s="70"/>
      <c r="I131" s="70"/>
      <c r="J131" s="70"/>
    </row>
    <row r="132" spans="2:10" s="25" customFormat="1" ht="13.95" customHeight="1" x14ac:dyDescent="0.2">
      <c r="B132" s="70"/>
      <c r="C132" s="70"/>
      <c r="D132" s="70"/>
      <c r="E132" s="70"/>
      <c r="F132" s="70"/>
      <c r="G132" s="70"/>
      <c r="H132" s="70"/>
      <c r="I132" s="70"/>
      <c r="J132" s="70"/>
    </row>
    <row r="133" spans="2:10" s="25" customFormat="1" ht="13.95" customHeight="1" x14ac:dyDescent="0.2">
      <c r="B133" s="70"/>
      <c r="C133" s="70"/>
      <c r="D133" s="70"/>
      <c r="E133" s="70"/>
      <c r="F133" s="70"/>
      <c r="G133" s="70"/>
      <c r="H133" s="70"/>
      <c r="I133" s="70"/>
      <c r="J133" s="70"/>
    </row>
    <row r="134" spans="2:10" s="25" customFormat="1" ht="13.95" customHeight="1" x14ac:dyDescent="0.2">
      <c r="B134" s="70"/>
      <c r="C134" s="70"/>
      <c r="D134" s="70"/>
      <c r="E134" s="70"/>
      <c r="F134" s="70"/>
      <c r="G134" s="70"/>
      <c r="H134" s="70"/>
      <c r="I134" s="70"/>
      <c r="J134" s="70"/>
    </row>
    <row r="135" spans="2:10" s="25" customFormat="1" ht="13.95" customHeight="1" x14ac:dyDescent="0.2">
      <c r="B135" s="70"/>
      <c r="C135" s="70"/>
      <c r="D135" s="70"/>
      <c r="E135" s="70"/>
      <c r="F135" s="70"/>
      <c r="G135" s="70"/>
      <c r="H135" s="70"/>
      <c r="I135" s="70"/>
      <c r="J135" s="70"/>
    </row>
    <row r="136" spans="2:10" s="25" customFormat="1" ht="13.95" customHeight="1" x14ac:dyDescent="0.2">
      <c r="B136" s="70"/>
      <c r="C136" s="70"/>
      <c r="D136" s="70"/>
      <c r="E136" s="70"/>
      <c r="F136" s="70"/>
      <c r="G136" s="70"/>
      <c r="H136" s="70"/>
      <c r="I136" s="70"/>
      <c r="J136" s="70"/>
    </row>
    <row r="137" spans="2:10" s="25" customFormat="1" ht="13.95" customHeight="1" x14ac:dyDescent="0.2">
      <c r="B137" s="70"/>
      <c r="C137" s="70"/>
      <c r="D137" s="70"/>
      <c r="E137" s="70"/>
      <c r="F137" s="70"/>
      <c r="G137" s="70"/>
      <c r="H137" s="70"/>
      <c r="I137" s="70"/>
      <c r="J137" s="70"/>
    </row>
    <row r="138" spans="2:10" s="25" customFormat="1" ht="13.95" customHeight="1" x14ac:dyDescent="0.2">
      <c r="B138" s="70"/>
      <c r="C138" s="70"/>
      <c r="D138" s="70"/>
      <c r="E138" s="70"/>
      <c r="F138" s="70"/>
      <c r="G138" s="70"/>
      <c r="H138" s="70"/>
      <c r="I138" s="70"/>
      <c r="J138" s="70"/>
    </row>
    <row r="139" spans="2:10" s="25" customFormat="1" ht="13.95" customHeight="1" x14ac:dyDescent="0.2">
      <c r="B139" s="70"/>
      <c r="C139" s="70"/>
      <c r="D139" s="70"/>
      <c r="E139" s="70"/>
      <c r="F139" s="70"/>
      <c r="G139" s="70"/>
      <c r="H139" s="70"/>
      <c r="I139" s="70"/>
      <c r="J139" s="70"/>
    </row>
    <row r="140" spans="2:10" s="25" customFormat="1" ht="13.95" customHeight="1" x14ac:dyDescent="0.2">
      <c r="B140" s="70"/>
      <c r="C140" s="70"/>
      <c r="D140" s="70"/>
      <c r="E140" s="70"/>
      <c r="F140" s="70"/>
      <c r="G140" s="70"/>
      <c r="H140" s="70"/>
      <c r="I140" s="70"/>
      <c r="J140" s="70"/>
    </row>
    <row r="141" spans="2:10" s="25" customFormat="1" ht="13.95" customHeight="1" x14ac:dyDescent="0.2">
      <c r="B141" s="70"/>
      <c r="C141" s="70"/>
      <c r="D141" s="70"/>
      <c r="E141" s="70"/>
      <c r="F141" s="70"/>
      <c r="G141" s="70"/>
      <c r="H141" s="70"/>
      <c r="I141" s="70"/>
      <c r="J141" s="70"/>
    </row>
    <row r="142" spans="2:10" s="25" customFormat="1" ht="13.95" customHeight="1" x14ac:dyDescent="0.2">
      <c r="B142" s="70"/>
      <c r="C142" s="70"/>
      <c r="D142" s="70"/>
      <c r="E142" s="70"/>
      <c r="F142" s="70"/>
      <c r="G142" s="70"/>
      <c r="H142" s="70"/>
      <c r="I142" s="70"/>
      <c r="J142" s="70"/>
    </row>
    <row r="143" spans="2:10" s="25" customFormat="1" ht="13.95" customHeight="1" x14ac:dyDescent="0.2">
      <c r="B143" s="70"/>
      <c r="C143" s="70"/>
      <c r="D143" s="70"/>
      <c r="E143" s="70"/>
      <c r="F143" s="70"/>
      <c r="G143" s="70"/>
      <c r="H143" s="70"/>
      <c r="I143" s="70"/>
      <c r="J143" s="70"/>
    </row>
    <row r="144" spans="2:10" s="25" customFormat="1" ht="13.95" customHeight="1" x14ac:dyDescent="0.2">
      <c r="B144" s="70"/>
      <c r="C144" s="70"/>
      <c r="D144" s="70"/>
      <c r="E144" s="70"/>
      <c r="F144" s="70"/>
      <c r="G144" s="70"/>
      <c r="H144" s="70"/>
      <c r="I144" s="70"/>
      <c r="J144" s="70"/>
    </row>
    <row r="145" spans="2:10" s="25" customFormat="1" ht="13.95" customHeight="1" x14ac:dyDescent="0.2">
      <c r="B145" s="70"/>
      <c r="C145" s="70"/>
      <c r="D145" s="70"/>
      <c r="E145" s="70"/>
      <c r="F145" s="70"/>
      <c r="G145" s="70"/>
      <c r="H145" s="70"/>
      <c r="I145" s="70"/>
      <c r="J145" s="70"/>
    </row>
    <row r="146" spans="2:10" s="25" customFormat="1" ht="13.95" customHeight="1" x14ac:dyDescent="0.2">
      <c r="B146" s="70"/>
      <c r="C146" s="70"/>
      <c r="D146" s="70"/>
      <c r="E146" s="70"/>
      <c r="F146" s="70"/>
      <c r="G146" s="70"/>
      <c r="H146" s="70"/>
      <c r="I146" s="70"/>
      <c r="J146" s="70"/>
    </row>
    <row r="147" spans="2:10" s="25" customFormat="1" ht="13.95" customHeight="1" x14ac:dyDescent="0.2">
      <c r="B147" s="70"/>
      <c r="C147" s="70"/>
      <c r="D147" s="70"/>
      <c r="E147" s="70"/>
      <c r="F147" s="70"/>
      <c r="G147" s="70"/>
      <c r="H147" s="70"/>
      <c r="I147" s="70"/>
      <c r="J147" s="70"/>
    </row>
    <row r="148" spans="2:10" s="25" customFormat="1" ht="13.95" customHeight="1" x14ac:dyDescent="0.2">
      <c r="B148" s="70"/>
      <c r="C148" s="70"/>
      <c r="D148" s="70"/>
      <c r="E148" s="70"/>
      <c r="F148" s="70"/>
      <c r="G148" s="70"/>
      <c r="H148" s="70"/>
      <c r="I148" s="70"/>
      <c r="J148" s="70"/>
    </row>
    <row r="149" spans="2:10" s="25" customFormat="1" ht="13.95" customHeight="1" x14ac:dyDescent="0.2">
      <c r="B149" s="70"/>
      <c r="C149" s="70"/>
      <c r="D149" s="70"/>
      <c r="E149" s="70"/>
      <c r="F149" s="70"/>
      <c r="G149" s="70"/>
      <c r="H149" s="70"/>
      <c r="I149" s="70"/>
      <c r="J149" s="70"/>
    </row>
    <row r="150" spans="2:10" s="25" customFormat="1" ht="13.95" customHeight="1" x14ac:dyDescent="0.2">
      <c r="B150" s="70"/>
      <c r="C150" s="70"/>
      <c r="D150" s="70"/>
      <c r="E150" s="70"/>
      <c r="F150" s="70"/>
      <c r="G150" s="70"/>
      <c r="H150" s="70"/>
      <c r="I150" s="70"/>
      <c r="J150" s="70"/>
    </row>
    <row r="151" spans="2:10" s="25" customFormat="1" ht="13.95" customHeight="1" x14ac:dyDescent="0.2">
      <c r="B151" s="70"/>
      <c r="C151" s="70"/>
      <c r="D151" s="70"/>
      <c r="E151" s="70"/>
      <c r="F151" s="70"/>
      <c r="G151" s="70"/>
      <c r="H151" s="70"/>
      <c r="I151" s="70"/>
      <c r="J151" s="70"/>
    </row>
    <row r="152" spans="2:10" s="25" customFormat="1" ht="13.95" customHeight="1" x14ac:dyDescent="0.2">
      <c r="B152" s="70"/>
      <c r="C152" s="70"/>
      <c r="D152" s="70"/>
      <c r="E152" s="70"/>
      <c r="F152" s="70"/>
      <c r="G152" s="70"/>
      <c r="H152" s="70"/>
      <c r="I152" s="70"/>
      <c r="J152" s="70"/>
    </row>
    <row r="153" spans="2:10" s="25" customFormat="1" ht="13.95" customHeight="1" x14ac:dyDescent="0.2">
      <c r="B153" s="70"/>
      <c r="C153" s="70"/>
      <c r="D153" s="70"/>
      <c r="E153" s="70"/>
      <c r="F153" s="70"/>
      <c r="G153" s="70"/>
      <c r="H153" s="70"/>
      <c r="I153" s="70"/>
      <c r="J153" s="70"/>
    </row>
    <row r="154" spans="2:10" s="25" customFormat="1" ht="13.95" customHeight="1" x14ac:dyDescent="0.2">
      <c r="B154" s="70"/>
      <c r="C154" s="70"/>
      <c r="D154" s="70"/>
      <c r="E154" s="70"/>
      <c r="F154" s="70"/>
      <c r="G154" s="70"/>
      <c r="H154" s="70"/>
      <c r="I154" s="70"/>
      <c r="J154" s="70"/>
    </row>
    <row r="155" spans="2:10" s="25" customFormat="1" ht="13.95" customHeight="1" x14ac:dyDescent="0.2">
      <c r="B155" s="70"/>
      <c r="C155" s="70"/>
      <c r="D155" s="70"/>
      <c r="E155" s="70"/>
      <c r="F155" s="70"/>
      <c r="G155" s="70"/>
      <c r="H155" s="70"/>
      <c r="I155" s="70"/>
      <c r="J155" s="70"/>
    </row>
    <row r="156" spans="2:10" s="25" customFormat="1" ht="13.95" customHeight="1" x14ac:dyDescent="0.2">
      <c r="B156" s="70"/>
      <c r="C156" s="70"/>
      <c r="D156" s="70"/>
      <c r="E156" s="70"/>
      <c r="F156" s="70"/>
      <c r="G156" s="70"/>
      <c r="H156" s="70"/>
      <c r="I156" s="70"/>
      <c r="J156" s="70"/>
    </row>
    <row r="157" spans="2:10" s="25" customFormat="1" ht="13.95" customHeight="1" x14ac:dyDescent="0.2">
      <c r="B157" s="70"/>
      <c r="C157" s="70"/>
      <c r="D157" s="70"/>
      <c r="E157" s="70"/>
      <c r="F157" s="70"/>
      <c r="G157" s="70"/>
      <c r="H157" s="70"/>
      <c r="I157" s="70"/>
      <c r="J157" s="70"/>
    </row>
    <row r="158" spans="2:10" s="25" customFormat="1" ht="13.95" customHeight="1" x14ac:dyDescent="0.2">
      <c r="B158" s="70"/>
      <c r="C158" s="70"/>
      <c r="D158" s="70"/>
      <c r="E158" s="70"/>
      <c r="F158" s="70"/>
      <c r="G158" s="70"/>
      <c r="H158" s="70"/>
      <c r="I158" s="70"/>
      <c r="J158" s="70"/>
    </row>
    <row r="159" spans="2:10" s="25" customFormat="1" ht="13.95" customHeight="1" x14ac:dyDescent="0.2">
      <c r="B159" s="70"/>
      <c r="C159" s="70"/>
      <c r="D159" s="70"/>
      <c r="E159" s="70"/>
      <c r="F159" s="70"/>
      <c r="G159" s="70"/>
      <c r="H159" s="70"/>
      <c r="I159" s="70"/>
      <c r="J159" s="70"/>
    </row>
    <row r="160" spans="2:10" s="25" customFormat="1" ht="13.95" customHeight="1" x14ac:dyDescent="0.2">
      <c r="B160" s="70"/>
      <c r="C160" s="70"/>
      <c r="D160" s="70"/>
      <c r="E160" s="70"/>
      <c r="F160" s="70"/>
      <c r="G160" s="70"/>
      <c r="H160" s="70"/>
      <c r="I160" s="70"/>
      <c r="J160" s="70"/>
    </row>
    <row r="161" spans="2:10" s="25" customFormat="1" ht="13.95" customHeight="1" x14ac:dyDescent="0.2">
      <c r="B161" s="70"/>
      <c r="C161" s="70"/>
      <c r="D161" s="70"/>
      <c r="E161" s="70"/>
      <c r="F161" s="70"/>
      <c r="G161" s="70"/>
      <c r="H161" s="70"/>
      <c r="I161" s="70"/>
      <c r="J161" s="70"/>
    </row>
    <row r="162" spans="2:10" s="25" customFormat="1" ht="13.95" customHeight="1" x14ac:dyDescent="0.2">
      <c r="B162" s="70"/>
      <c r="C162" s="70"/>
      <c r="D162" s="70"/>
      <c r="E162" s="70"/>
      <c r="F162" s="70"/>
      <c r="G162" s="70"/>
      <c r="H162" s="70"/>
      <c r="I162" s="70"/>
      <c r="J162" s="70"/>
    </row>
    <row r="163" spans="2:10" s="25" customFormat="1" ht="13.95" customHeight="1" x14ac:dyDescent="0.2">
      <c r="B163" s="70"/>
      <c r="C163" s="70"/>
      <c r="D163" s="70"/>
      <c r="E163" s="70"/>
      <c r="F163" s="70"/>
      <c r="G163" s="70"/>
      <c r="H163" s="70"/>
      <c r="I163" s="70"/>
      <c r="J163" s="70"/>
    </row>
    <row r="164" spans="2:10" s="25" customFormat="1" ht="13.95" customHeight="1" x14ac:dyDescent="0.2">
      <c r="B164" s="70"/>
      <c r="C164" s="70"/>
      <c r="D164" s="70"/>
      <c r="E164" s="70"/>
      <c r="F164" s="70"/>
      <c r="G164" s="70"/>
      <c r="H164" s="70"/>
      <c r="I164" s="70"/>
      <c r="J164" s="70"/>
    </row>
    <row r="165" spans="2:10" s="25" customFormat="1" ht="13.95" customHeight="1" x14ac:dyDescent="0.2">
      <c r="B165" s="70"/>
      <c r="C165" s="70"/>
      <c r="D165" s="70"/>
      <c r="E165" s="70"/>
      <c r="F165" s="70"/>
      <c r="G165" s="70"/>
      <c r="H165" s="70"/>
      <c r="I165" s="70"/>
      <c r="J165" s="70"/>
    </row>
    <row r="166" spans="2:10" s="25" customFormat="1" ht="13.95" customHeight="1" x14ac:dyDescent="0.2">
      <c r="B166" s="70"/>
      <c r="C166" s="70"/>
      <c r="D166" s="70"/>
      <c r="E166" s="70"/>
      <c r="F166" s="70"/>
      <c r="G166" s="70"/>
      <c r="H166" s="70"/>
      <c r="I166" s="70"/>
      <c r="J166" s="70"/>
    </row>
    <row r="167" spans="2:10" s="25" customFormat="1" ht="13.95" customHeight="1" x14ac:dyDescent="0.2">
      <c r="B167" s="70"/>
      <c r="C167" s="70"/>
      <c r="D167" s="70"/>
      <c r="E167" s="70"/>
      <c r="F167" s="70"/>
      <c r="G167" s="70"/>
      <c r="H167" s="70"/>
      <c r="I167" s="70"/>
      <c r="J167" s="70"/>
    </row>
    <row r="168" spans="2:10" s="25" customFormat="1" ht="13.95" customHeight="1" x14ac:dyDescent="0.2">
      <c r="B168" s="70"/>
      <c r="C168" s="70"/>
      <c r="D168" s="70"/>
      <c r="E168" s="70"/>
      <c r="F168" s="70"/>
      <c r="G168" s="70"/>
      <c r="H168" s="70"/>
      <c r="I168" s="70"/>
      <c r="J168" s="70"/>
    </row>
    <row r="169" spans="2:10" s="25" customFormat="1" ht="13.95" customHeight="1" x14ac:dyDescent="0.2">
      <c r="B169" s="70"/>
      <c r="C169" s="70"/>
      <c r="D169" s="70"/>
      <c r="E169" s="70"/>
      <c r="F169" s="70"/>
      <c r="G169" s="70"/>
      <c r="H169" s="70"/>
      <c r="I169" s="70"/>
      <c r="J169" s="70"/>
    </row>
    <row r="170" spans="2:10" s="25" customFormat="1" ht="13.95" customHeight="1" x14ac:dyDescent="0.2">
      <c r="B170" s="70"/>
      <c r="C170" s="70"/>
      <c r="D170" s="70"/>
      <c r="E170" s="70"/>
      <c r="F170" s="70"/>
      <c r="G170" s="70"/>
      <c r="H170" s="70"/>
      <c r="I170" s="70"/>
      <c r="J170" s="70"/>
    </row>
    <row r="171" spans="2:10" s="25" customFormat="1" ht="13.95" customHeight="1" x14ac:dyDescent="0.2">
      <c r="B171" s="70"/>
      <c r="C171" s="70"/>
      <c r="D171" s="70"/>
      <c r="E171" s="70"/>
      <c r="F171" s="70"/>
      <c r="G171" s="70"/>
      <c r="H171" s="70"/>
      <c r="I171" s="70"/>
      <c r="J171" s="70"/>
    </row>
    <row r="172" spans="2:10" s="25" customFormat="1" ht="13.95" customHeight="1" x14ac:dyDescent="0.2">
      <c r="B172" s="70"/>
      <c r="C172" s="70"/>
      <c r="D172" s="70"/>
      <c r="E172" s="70"/>
      <c r="F172" s="70"/>
      <c r="G172" s="70"/>
      <c r="H172" s="70"/>
      <c r="I172" s="70"/>
      <c r="J172" s="70"/>
    </row>
    <row r="173" spans="2:10" s="25" customFormat="1" ht="13.95" customHeight="1" x14ac:dyDescent="0.2">
      <c r="B173" s="70"/>
      <c r="C173" s="70"/>
      <c r="D173" s="70"/>
      <c r="E173" s="70"/>
      <c r="F173" s="70"/>
      <c r="G173" s="70"/>
      <c r="H173" s="70"/>
      <c r="I173" s="70"/>
      <c r="J173" s="70"/>
    </row>
    <row r="174" spans="2:10" s="25" customFormat="1" ht="13.95" customHeight="1" x14ac:dyDescent="0.2">
      <c r="B174" s="70"/>
      <c r="C174" s="70"/>
      <c r="D174" s="70"/>
      <c r="E174" s="70"/>
      <c r="F174" s="70"/>
      <c r="G174" s="70"/>
      <c r="H174" s="70"/>
      <c r="I174" s="70"/>
      <c r="J174" s="70"/>
    </row>
    <row r="175" spans="2:10" s="25" customFormat="1" ht="13.95" customHeight="1" x14ac:dyDescent="0.2">
      <c r="B175" s="70"/>
      <c r="C175" s="70"/>
      <c r="D175" s="70"/>
      <c r="E175" s="70"/>
      <c r="F175" s="70"/>
      <c r="G175" s="70"/>
      <c r="H175" s="70"/>
      <c r="I175" s="70"/>
      <c r="J175" s="70"/>
    </row>
    <row r="176" spans="2:10" s="25" customFormat="1" ht="13.95" customHeight="1" x14ac:dyDescent="0.2">
      <c r="B176" s="70"/>
      <c r="C176" s="70"/>
      <c r="D176" s="70"/>
      <c r="E176" s="70"/>
      <c r="F176" s="70"/>
      <c r="G176" s="70"/>
      <c r="H176" s="70"/>
      <c r="I176" s="70"/>
      <c r="J176" s="70"/>
    </row>
    <row r="177" spans="2:10" s="25" customFormat="1" ht="13.95" customHeight="1" x14ac:dyDescent="0.2">
      <c r="B177" s="70"/>
      <c r="C177" s="70"/>
      <c r="D177" s="70"/>
      <c r="E177" s="70"/>
      <c r="F177" s="70"/>
      <c r="G177" s="70"/>
      <c r="H177" s="70"/>
      <c r="I177" s="70"/>
      <c r="J177" s="70"/>
    </row>
    <row r="178" spans="2:10" s="25" customFormat="1" ht="13.95" customHeight="1" x14ac:dyDescent="0.2">
      <c r="B178" s="70"/>
      <c r="C178" s="70"/>
      <c r="D178" s="70"/>
      <c r="E178" s="70"/>
      <c r="F178" s="70"/>
      <c r="G178" s="70"/>
      <c r="H178" s="70"/>
      <c r="I178" s="70"/>
      <c r="J178" s="70"/>
    </row>
    <row r="179" spans="2:10" s="25" customFormat="1" ht="13.95" customHeight="1" x14ac:dyDescent="0.2">
      <c r="B179" s="70"/>
      <c r="C179" s="70"/>
      <c r="D179" s="70"/>
      <c r="E179" s="70"/>
      <c r="F179" s="70"/>
      <c r="G179" s="70"/>
      <c r="H179" s="70"/>
      <c r="I179" s="70"/>
      <c r="J179" s="70"/>
    </row>
    <row r="180" spans="2:10" s="25" customFormat="1" ht="13.95" customHeight="1" x14ac:dyDescent="0.2">
      <c r="B180" s="70"/>
      <c r="C180" s="70"/>
      <c r="D180" s="70"/>
      <c r="E180" s="70"/>
      <c r="F180" s="70"/>
      <c r="G180" s="70"/>
      <c r="H180" s="70"/>
      <c r="I180" s="70"/>
      <c r="J180" s="70"/>
    </row>
    <row r="181" spans="2:10" s="25" customFormat="1" ht="13.95" customHeight="1" x14ac:dyDescent="0.2">
      <c r="B181" s="70"/>
      <c r="C181" s="70"/>
      <c r="D181" s="70"/>
      <c r="E181" s="70"/>
      <c r="F181" s="70"/>
      <c r="G181" s="70"/>
      <c r="H181" s="70"/>
      <c r="I181" s="70"/>
      <c r="J181" s="70"/>
    </row>
    <row r="182" spans="2:10" s="25" customFormat="1" ht="13.95" customHeight="1" x14ac:dyDescent="0.2">
      <c r="B182" s="70"/>
      <c r="C182" s="70"/>
      <c r="D182" s="70"/>
      <c r="E182" s="70"/>
      <c r="F182" s="70"/>
      <c r="G182" s="70"/>
      <c r="H182" s="70"/>
      <c r="I182" s="70"/>
      <c r="J182" s="70"/>
    </row>
    <row r="183" spans="2:10" s="25" customFormat="1" ht="13.95" customHeight="1" x14ac:dyDescent="0.2">
      <c r="B183" s="70"/>
      <c r="C183" s="70"/>
      <c r="D183" s="70"/>
      <c r="E183" s="70"/>
      <c r="F183" s="70"/>
      <c r="G183" s="70"/>
      <c r="H183" s="70"/>
      <c r="I183" s="70"/>
      <c r="J183" s="70"/>
    </row>
    <row r="184" spans="2:10" s="25" customFormat="1" ht="13.95" customHeight="1" x14ac:dyDescent="0.2">
      <c r="B184" s="70"/>
      <c r="C184" s="70"/>
      <c r="D184" s="70"/>
      <c r="E184" s="70"/>
      <c r="F184" s="70"/>
      <c r="G184" s="70"/>
      <c r="H184" s="70"/>
      <c r="I184" s="70"/>
      <c r="J184" s="70"/>
    </row>
    <row r="185" spans="2:10" s="25" customFormat="1" ht="13.95" customHeight="1" x14ac:dyDescent="0.2">
      <c r="B185" s="70"/>
      <c r="C185" s="70"/>
      <c r="D185" s="70"/>
      <c r="E185" s="70"/>
      <c r="F185" s="70"/>
      <c r="G185" s="70"/>
      <c r="H185" s="70"/>
      <c r="I185" s="70"/>
      <c r="J185" s="70"/>
    </row>
    <row r="186" spans="2:10" s="25" customFormat="1" ht="13.95" customHeight="1" x14ac:dyDescent="0.2">
      <c r="B186" s="70"/>
      <c r="C186" s="70"/>
      <c r="D186" s="70"/>
      <c r="E186" s="70"/>
      <c r="F186" s="70"/>
      <c r="G186" s="70"/>
      <c r="H186" s="70"/>
      <c r="I186" s="70"/>
      <c r="J186" s="70"/>
    </row>
    <row r="187" spans="2:10" s="25" customFormat="1" ht="13.95" customHeight="1" x14ac:dyDescent="0.2">
      <c r="B187" s="70"/>
      <c r="C187" s="70"/>
      <c r="D187" s="70"/>
      <c r="E187" s="70"/>
      <c r="F187" s="70"/>
      <c r="G187" s="70"/>
      <c r="H187" s="70"/>
      <c r="I187" s="70"/>
      <c r="J187" s="70"/>
    </row>
    <row r="188" spans="2:10" s="25" customFormat="1" ht="13.95" customHeight="1" x14ac:dyDescent="0.2">
      <c r="B188" s="70"/>
      <c r="C188" s="70"/>
      <c r="D188" s="70"/>
      <c r="E188" s="70"/>
      <c r="F188" s="70"/>
      <c r="G188" s="70"/>
      <c r="H188" s="70"/>
      <c r="I188" s="70"/>
      <c r="J188" s="70"/>
    </row>
    <row r="189" spans="2:10" s="25" customFormat="1" ht="13.95" customHeight="1" x14ac:dyDescent="0.2">
      <c r="B189" s="70"/>
      <c r="C189" s="70"/>
      <c r="D189" s="70"/>
      <c r="E189" s="70"/>
      <c r="F189" s="70"/>
      <c r="G189" s="70"/>
      <c r="H189" s="70"/>
      <c r="I189" s="70"/>
      <c r="J189" s="70"/>
    </row>
    <row r="190" spans="2:10" s="25" customFormat="1" ht="13.95" customHeight="1" x14ac:dyDescent="0.2">
      <c r="B190" s="70"/>
      <c r="C190" s="70"/>
      <c r="D190" s="70"/>
      <c r="E190" s="70"/>
      <c r="F190" s="70"/>
      <c r="G190" s="70"/>
      <c r="H190" s="70"/>
      <c r="I190" s="70"/>
      <c r="J190" s="70"/>
    </row>
    <row r="191" spans="2:10" s="25" customFormat="1" ht="13.95" customHeight="1" x14ac:dyDescent="0.2">
      <c r="B191" s="70"/>
      <c r="C191" s="70"/>
      <c r="D191" s="70"/>
      <c r="E191" s="70"/>
      <c r="F191" s="70"/>
      <c r="G191" s="70"/>
      <c r="H191" s="70"/>
      <c r="I191" s="70"/>
      <c r="J191" s="70"/>
    </row>
    <row r="192" spans="2:10" s="25" customFormat="1" ht="13.95" customHeight="1" x14ac:dyDescent="0.2">
      <c r="B192" s="70"/>
      <c r="C192" s="70"/>
      <c r="D192" s="70"/>
      <c r="E192" s="70"/>
      <c r="F192" s="70"/>
      <c r="G192" s="70"/>
      <c r="H192" s="70"/>
      <c r="I192" s="70"/>
      <c r="J192" s="70"/>
    </row>
    <row r="193" spans="2:10" s="25" customFormat="1" ht="13.95" customHeight="1" x14ac:dyDescent="0.2">
      <c r="B193" s="70"/>
      <c r="C193" s="70"/>
      <c r="D193" s="70"/>
      <c r="E193" s="70"/>
      <c r="F193" s="70"/>
      <c r="G193" s="70"/>
      <c r="H193" s="70"/>
      <c r="I193" s="70"/>
      <c r="J193" s="70"/>
    </row>
    <row r="194" spans="2:10" s="25" customFormat="1" ht="13.95" customHeight="1" x14ac:dyDescent="0.2">
      <c r="B194" s="70"/>
      <c r="C194" s="70"/>
      <c r="D194" s="70"/>
      <c r="E194" s="70"/>
      <c r="F194" s="70"/>
      <c r="G194" s="70"/>
      <c r="H194" s="70"/>
      <c r="I194" s="70"/>
      <c r="J194" s="70"/>
    </row>
    <row r="195" spans="2:10" s="25" customFormat="1" ht="13.95" customHeight="1" x14ac:dyDescent="0.2">
      <c r="B195" s="70"/>
      <c r="C195" s="70"/>
      <c r="D195" s="70"/>
      <c r="E195" s="70"/>
      <c r="F195" s="70"/>
      <c r="G195" s="70"/>
      <c r="H195" s="70"/>
      <c r="I195" s="70"/>
      <c r="J195" s="70"/>
    </row>
    <row r="196" spans="2:10" s="25" customFormat="1" ht="13.95" customHeight="1" x14ac:dyDescent="0.2">
      <c r="B196" s="70"/>
      <c r="C196" s="70"/>
      <c r="D196" s="70"/>
      <c r="E196" s="70"/>
      <c r="F196" s="70"/>
      <c r="G196" s="70"/>
      <c r="H196" s="70"/>
      <c r="I196" s="70"/>
      <c r="J196" s="70"/>
    </row>
    <row r="197" spans="2:10" s="25" customFormat="1" ht="13.95" customHeight="1" x14ac:dyDescent="0.2">
      <c r="B197" s="70"/>
      <c r="C197" s="70"/>
      <c r="D197" s="70"/>
      <c r="E197" s="70"/>
      <c r="F197" s="70"/>
      <c r="G197" s="70"/>
      <c r="H197" s="70"/>
      <c r="I197" s="70"/>
      <c r="J197" s="70"/>
    </row>
    <row r="198" spans="2:10" s="25" customFormat="1" ht="13.95" customHeight="1" x14ac:dyDescent="0.2">
      <c r="B198" s="70"/>
      <c r="C198" s="70"/>
      <c r="D198" s="70"/>
      <c r="E198" s="70"/>
      <c r="F198" s="70"/>
      <c r="G198" s="70"/>
      <c r="H198" s="70"/>
      <c r="I198" s="70"/>
      <c r="J198" s="70"/>
    </row>
    <row r="199" spans="2:10" s="25" customFormat="1" ht="13.95" customHeight="1" x14ac:dyDescent="0.2">
      <c r="B199" s="70"/>
      <c r="C199" s="70"/>
      <c r="D199" s="70"/>
      <c r="E199" s="70"/>
      <c r="F199" s="70"/>
      <c r="G199" s="70"/>
      <c r="H199" s="70"/>
      <c r="I199" s="70"/>
      <c r="J199" s="70"/>
    </row>
    <row r="200" spans="2:10" s="25" customFormat="1" ht="13.95" customHeight="1" x14ac:dyDescent="0.2">
      <c r="B200" s="70"/>
      <c r="C200" s="70"/>
      <c r="D200" s="70"/>
      <c r="E200" s="70"/>
      <c r="F200" s="70"/>
      <c r="G200" s="70"/>
      <c r="H200" s="70"/>
      <c r="I200" s="70"/>
      <c r="J200" s="70"/>
    </row>
    <row r="201" spans="2:10" s="25" customFormat="1" ht="13.95" customHeight="1" x14ac:dyDescent="0.2">
      <c r="B201" s="70"/>
      <c r="C201" s="70"/>
      <c r="D201" s="70"/>
      <c r="E201" s="70"/>
      <c r="F201" s="70"/>
      <c r="G201" s="70"/>
      <c r="H201" s="70"/>
      <c r="I201" s="70"/>
      <c r="J201" s="70"/>
    </row>
    <row r="202" spans="2:10" s="25" customFormat="1" ht="13.95" customHeight="1" x14ac:dyDescent="0.2">
      <c r="B202" s="70"/>
      <c r="C202" s="70"/>
      <c r="D202" s="70"/>
      <c r="E202" s="70"/>
      <c r="F202" s="70"/>
      <c r="G202" s="70"/>
      <c r="H202" s="70"/>
      <c r="I202" s="70"/>
      <c r="J202" s="70"/>
    </row>
    <row r="203" spans="2:10" s="25" customFormat="1" ht="13.95" customHeight="1" x14ac:dyDescent="0.2">
      <c r="B203" s="70"/>
      <c r="C203" s="70"/>
      <c r="D203" s="70"/>
      <c r="E203" s="70"/>
      <c r="F203" s="70"/>
      <c r="G203" s="70"/>
      <c r="H203" s="70"/>
      <c r="I203" s="70"/>
      <c r="J203" s="70"/>
    </row>
    <row r="204" spans="2:10" s="25" customFormat="1" ht="13.95" customHeight="1" x14ac:dyDescent="0.2">
      <c r="B204" s="70"/>
      <c r="C204" s="70"/>
      <c r="D204" s="70"/>
      <c r="E204" s="70"/>
      <c r="F204" s="70"/>
      <c r="G204" s="70"/>
      <c r="H204" s="70"/>
      <c r="I204" s="70"/>
      <c r="J204" s="70"/>
    </row>
    <row r="205" spans="2:10" s="25" customFormat="1" ht="13.95" customHeight="1" x14ac:dyDescent="0.2">
      <c r="B205" s="70"/>
      <c r="C205" s="70"/>
      <c r="D205" s="70"/>
      <c r="E205" s="70"/>
      <c r="F205" s="70"/>
      <c r="G205" s="70"/>
      <c r="H205" s="70"/>
      <c r="I205" s="70"/>
      <c r="J205" s="70"/>
    </row>
    <row r="206" spans="2:10" s="25" customFormat="1" ht="13.95" customHeight="1" x14ac:dyDescent="0.2">
      <c r="B206" s="70"/>
      <c r="C206" s="70"/>
      <c r="D206" s="70"/>
      <c r="E206" s="70"/>
      <c r="F206" s="70"/>
      <c r="G206" s="70"/>
      <c r="H206" s="70"/>
      <c r="I206" s="70"/>
      <c r="J206" s="70"/>
    </row>
    <row r="207" spans="2:10" s="25" customFormat="1" ht="13.95" customHeight="1" x14ac:dyDescent="0.2">
      <c r="B207" s="70"/>
      <c r="C207" s="70"/>
      <c r="D207" s="70"/>
      <c r="E207" s="70"/>
      <c r="F207" s="70"/>
      <c r="G207" s="70"/>
      <c r="H207" s="70"/>
      <c r="I207" s="70"/>
      <c r="J207" s="70"/>
    </row>
    <row r="208" spans="2:10" s="25" customFormat="1" ht="13.95" customHeight="1" x14ac:dyDescent="0.2">
      <c r="B208" s="70"/>
      <c r="C208" s="70"/>
      <c r="D208" s="70"/>
      <c r="E208" s="70"/>
      <c r="F208" s="70"/>
      <c r="G208" s="70"/>
      <c r="H208" s="70"/>
      <c r="I208" s="70"/>
      <c r="J208" s="70"/>
    </row>
    <row r="209" spans="2:10" s="25" customFormat="1" ht="13.95" customHeight="1" x14ac:dyDescent="0.2">
      <c r="B209" s="70"/>
      <c r="C209" s="70"/>
      <c r="D209" s="70"/>
      <c r="E209" s="70"/>
      <c r="F209" s="70"/>
      <c r="G209" s="70"/>
      <c r="H209" s="70"/>
      <c r="I209" s="70"/>
      <c r="J209" s="70"/>
    </row>
    <row r="210" spans="2:10" s="25" customFormat="1" ht="13.95" customHeight="1" x14ac:dyDescent="0.2">
      <c r="B210" s="70"/>
      <c r="C210" s="70"/>
      <c r="D210" s="70"/>
      <c r="E210" s="70"/>
      <c r="F210" s="70"/>
      <c r="G210" s="70"/>
      <c r="H210" s="70"/>
      <c r="I210" s="70"/>
      <c r="J210" s="70"/>
    </row>
    <row r="211" spans="2:10" s="25" customFormat="1" ht="13.95" customHeight="1" x14ac:dyDescent="0.2">
      <c r="B211" s="70"/>
      <c r="C211" s="70"/>
      <c r="D211" s="70"/>
      <c r="E211" s="70"/>
      <c r="F211" s="70"/>
      <c r="G211" s="70"/>
      <c r="H211" s="70"/>
      <c r="I211" s="70"/>
      <c r="J211" s="70"/>
    </row>
    <row r="212" spans="2:10" s="25" customFormat="1" ht="13.95" customHeight="1" x14ac:dyDescent="0.2">
      <c r="B212" s="70"/>
      <c r="C212" s="70"/>
      <c r="D212" s="70"/>
      <c r="E212" s="70"/>
      <c r="F212" s="70"/>
      <c r="G212" s="70"/>
      <c r="H212" s="70"/>
      <c r="I212" s="70"/>
      <c r="J212" s="70"/>
    </row>
    <row r="213" spans="2:10" s="25" customFormat="1" ht="13.95" customHeight="1" x14ac:dyDescent="0.2">
      <c r="B213" s="70"/>
      <c r="C213" s="70"/>
      <c r="D213" s="70"/>
      <c r="E213" s="70"/>
      <c r="F213" s="70"/>
      <c r="G213" s="70"/>
      <c r="H213" s="70"/>
      <c r="I213" s="70"/>
      <c r="J213" s="70"/>
    </row>
    <row r="214" spans="2:10" s="25" customFormat="1" ht="13.95" customHeight="1" x14ac:dyDescent="0.2">
      <c r="B214" s="70"/>
      <c r="C214" s="70"/>
      <c r="D214" s="70"/>
      <c r="E214" s="70"/>
      <c r="F214" s="70"/>
      <c r="G214" s="70"/>
      <c r="H214" s="70"/>
      <c r="I214" s="70"/>
      <c r="J214" s="70"/>
    </row>
    <row r="215" spans="2:10" s="25" customFormat="1" ht="13.95" customHeight="1" x14ac:dyDescent="0.2">
      <c r="B215" s="70"/>
      <c r="C215" s="70"/>
      <c r="D215" s="70"/>
      <c r="E215" s="70"/>
      <c r="F215" s="70"/>
      <c r="G215" s="70"/>
      <c r="H215" s="70"/>
      <c r="I215" s="70"/>
      <c r="J215" s="70"/>
    </row>
    <row r="216" spans="2:10" s="25" customFormat="1" ht="13.95" customHeight="1" x14ac:dyDescent="0.2">
      <c r="B216" s="70"/>
      <c r="C216" s="70"/>
      <c r="D216" s="70"/>
      <c r="E216" s="70"/>
      <c r="F216" s="70"/>
      <c r="G216" s="70"/>
      <c r="H216" s="70"/>
      <c r="I216" s="70"/>
      <c r="J216" s="70"/>
    </row>
    <row r="217" spans="2:10" s="25" customFormat="1" ht="13.95" customHeight="1" x14ac:dyDescent="0.2">
      <c r="B217" s="70"/>
      <c r="C217" s="70"/>
      <c r="D217" s="70"/>
      <c r="E217" s="70"/>
      <c r="F217" s="70"/>
      <c r="G217" s="70"/>
      <c r="H217" s="70"/>
      <c r="I217" s="70"/>
      <c r="J217" s="70"/>
    </row>
    <row r="218" spans="2:10" s="25" customFormat="1" ht="13.95" customHeight="1" x14ac:dyDescent="0.2">
      <c r="B218" s="70"/>
      <c r="C218" s="70"/>
      <c r="D218" s="70"/>
      <c r="E218" s="70"/>
      <c r="F218" s="70"/>
      <c r="G218" s="70"/>
      <c r="H218" s="70"/>
      <c r="I218" s="70"/>
      <c r="J218" s="70"/>
    </row>
    <row r="219" spans="2:10" s="25" customFormat="1" ht="13.95" customHeight="1" x14ac:dyDescent="0.2">
      <c r="B219" s="70"/>
      <c r="C219" s="70"/>
      <c r="D219" s="70"/>
      <c r="E219" s="70"/>
      <c r="F219" s="70"/>
      <c r="G219" s="70"/>
      <c r="H219" s="70"/>
      <c r="I219" s="70"/>
      <c r="J219" s="70"/>
    </row>
    <row r="220" spans="2:10" s="25" customFormat="1" ht="13.95" customHeight="1" x14ac:dyDescent="0.2">
      <c r="B220" s="70"/>
      <c r="C220" s="70"/>
      <c r="D220" s="70"/>
      <c r="E220" s="70"/>
      <c r="F220" s="70"/>
      <c r="G220" s="70"/>
      <c r="H220" s="70"/>
      <c r="I220" s="70"/>
      <c r="J220" s="70"/>
    </row>
    <row r="221" spans="2:10" s="25" customFormat="1" ht="13.95" customHeight="1" x14ac:dyDescent="0.2">
      <c r="B221" s="70"/>
      <c r="C221" s="70"/>
      <c r="D221" s="70"/>
      <c r="E221" s="70"/>
      <c r="F221" s="70"/>
      <c r="G221" s="70"/>
      <c r="H221" s="70"/>
      <c r="I221" s="70"/>
      <c r="J221" s="70"/>
    </row>
    <row r="222" spans="2:10" s="25" customFormat="1" ht="13.95" customHeight="1" x14ac:dyDescent="0.2">
      <c r="B222" s="70"/>
      <c r="C222" s="70"/>
      <c r="D222" s="70"/>
      <c r="E222" s="70"/>
      <c r="F222" s="70"/>
      <c r="G222" s="70"/>
      <c r="H222" s="70"/>
      <c r="I222" s="70"/>
      <c r="J222" s="70"/>
    </row>
    <row r="223" spans="2:10" s="25" customFormat="1" ht="13.95" customHeight="1" x14ac:dyDescent="0.2">
      <c r="B223" s="70"/>
      <c r="C223" s="70"/>
      <c r="D223" s="70"/>
      <c r="E223" s="70"/>
      <c r="F223" s="70"/>
      <c r="G223" s="70"/>
      <c r="H223" s="70"/>
      <c r="I223" s="70"/>
      <c r="J223" s="70"/>
    </row>
    <row r="224" spans="2:10" s="25" customFormat="1" ht="13.95" customHeight="1" x14ac:dyDescent="0.2">
      <c r="B224" s="70"/>
      <c r="C224" s="70"/>
      <c r="D224" s="70"/>
      <c r="E224" s="70"/>
      <c r="F224" s="70"/>
      <c r="G224" s="70"/>
      <c r="H224" s="70"/>
      <c r="I224" s="70"/>
      <c r="J224" s="70"/>
    </row>
    <row r="225" spans="2:10" s="25" customFormat="1" ht="13.95" customHeight="1" x14ac:dyDescent="0.2">
      <c r="B225" s="70"/>
      <c r="C225" s="70"/>
      <c r="D225" s="70"/>
      <c r="E225" s="70"/>
      <c r="F225" s="70"/>
      <c r="G225" s="70"/>
      <c r="H225" s="70"/>
      <c r="I225" s="70"/>
      <c r="J225" s="70"/>
    </row>
    <row r="226" spans="2:10" s="25" customFormat="1" ht="13.95" customHeight="1" x14ac:dyDescent="0.2">
      <c r="B226" s="70"/>
      <c r="C226" s="70"/>
      <c r="D226" s="70"/>
      <c r="E226" s="70"/>
      <c r="F226" s="70"/>
      <c r="G226" s="70"/>
      <c r="H226" s="70"/>
      <c r="I226" s="70"/>
      <c r="J226" s="70"/>
    </row>
    <row r="227" spans="2:10" s="25" customFormat="1" ht="13.95" customHeight="1" x14ac:dyDescent="0.2">
      <c r="B227" s="70"/>
      <c r="C227" s="70"/>
      <c r="D227" s="70"/>
      <c r="E227" s="70"/>
      <c r="F227" s="70"/>
      <c r="G227" s="70"/>
      <c r="H227" s="70"/>
      <c r="I227" s="70"/>
      <c r="J227" s="70"/>
    </row>
    <row r="228" spans="2:10" s="25" customFormat="1" ht="13.95" customHeight="1" x14ac:dyDescent="0.2">
      <c r="B228" s="70"/>
      <c r="C228" s="70"/>
      <c r="D228" s="70"/>
      <c r="E228" s="70"/>
      <c r="F228" s="70"/>
      <c r="G228" s="70"/>
      <c r="H228" s="70"/>
      <c r="I228" s="70"/>
      <c r="J228" s="70"/>
    </row>
    <row r="229" spans="2:10" s="25" customFormat="1" ht="13.95" customHeight="1" x14ac:dyDescent="0.2">
      <c r="B229" s="70"/>
      <c r="C229" s="70"/>
      <c r="D229" s="70"/>
      <c r="E229" s="70"/>
      <c r="F229" s="70"/>
      <c r="G229" s="70"/>
      <c r="H229" s="70"/>
      <c r="I229" s="70"/>
      <c r="J229" s="70"/>
    </row>
    <row r="230" spans="2:10" s="25" customFormat="1" ht="13.95" customHeight="1" x14ac:dyDescent="0.2">
      <c r="B230" s="70"/>
      <c r="C230" s="70"/>
      <c r="D230" s="70"/>
      <c r="E230" s="70"/>
      <c r="F230" s="70"/>
      <c r="G230" s="70"/>
      <c r="H230" s="70"/>
      <c r="I230" s="70"/>
      <c r="J230" s="70"/>
    </row>
    <row r="231" spans="2:10" s="25" customFormat="1" ht="13.95" customHeight="1" x14ac:dyDescent="0.2">
      <c r="B231" s="70"/>
      <c r="C231" s="70"/>
      <c r="D231" s="70"/>
      <c r="E231" s="70"/>
      <c r="F231" s="70"/>
      <c r="G231" s="70"/>
      <c r="H231" s="70"/>
      <c r="I231" s="70"/>
      <c r="J231" s="70"/>
    </row>
    <row r="232" spans="2:10" s="25" customFormat="1" ht="13.95" customHeight="1" x14ac:dyDescent="0.2">
      <c r="B232" s="70"/>
      <c r="C232" s="70"/>
      <c r="D232" s="70"/>
      <c r="E232" s="70"/>
      <c r="F232" s="70"/>
      <c r="G232" s="70"/>
      <c r="H232" s="70"/>
      <c r="I232" s="70"/>
      <c r="J232" s="70"/>
    </row>
    <row r="233" spans="2:10" s="25" customFormat="1" ht="13.95" customHeight="1" x14ac:dyDescent="0.2">
      <c r="B233" s="70"/>
      <c r="C233" s="70"/>
      <c r="D233" s="70"/>
      <c r="E233" s="70"/>
      <c r="F233" s="70"/>
      <c r="G233" s="70"/>
      <c r="H233" s="70"/>
      <c r="I233" s="70"/>
      <c r="J233" s="70"/>
    </row>
    <row r="234" spans="2:10" s="25" customFormat="1" ht="13.95" customHeight="1" x14ac:dyDescent="0.2">
      <c r="B234" s="70"/>
      <c r="C234" s="70"/>
      <c r="D234" s="70"/>
      <c r="E234" s="70"/>
      <c r="F234" s="70"/>
      <c r="G234" s="70"/>
      <c r="H234" s="70"/>
      <c r="I234" s="70"/>
      <c r="J234" s="70"/>
    </row>
    <row r="235" spans="2:10" s="25" customFormat="1" ht="13.95" customHeight="1" x14ac:dyDescent="0.2">
      <c r="B235" s="70"/>
      <c r="C235" s="70"/>
      <c r="D235" s="70"/>
      <c r="E235" s="70"/>
      <c r="F235" s="70"/>
      <c r="G235" s="70"/>
      <c r="H235" s="70"/>
      <c r="I235" s="70"/>
      <c r="J235" s="70"/>
    </row>
    <row r="236" spans="2:10" s="25" customFormat="1" ht="13.95" customHeight="1" x14ac:dyDescent="0.2">
      <c r="B236" s="70"/>
      <c r="C236" s="70"/>
      <c r="D236" s="70"/>
      <c r="E236" s="70"/>
      <c r="F236" s="70"/>
      <c r="G236" s="70"/>
      <c r="H236" s="70"/>
      <c r="I236" s="70"/>
      <c r="J236" s="70"/>
    </row>
    <row r="237" spans="2:10" s="25" customFormat="1" ht="13.95" customHeight="1" x14ac:dyDescent="0.2">
      <c r="B237" s="70"/>
      <c r="C237" s="70"/>
      <c r="D237" s="70"/>
      <c r="E237" s="70"/>
      <c r="F237" s="70"/>
      <c r="G237" s="70"/>
      <c r="H237" s="70"/>
      <c r="I237" s="70"/>
      <c r="J237" s="70"/>
    </row>
    <row r="238" spans="2:10" s="25" customFormat="1" ht="13.95" customHeight="1" x14ac:dyDescent="0.2">
      <c r="B238" s="70"/>
      <c r="C238" s="70"/>
      <c r="D238" s="70"/>
      <c r="E238" s="70"/>
      <c r="F238" s="70"/>
      <c r="G238" s="70"/>
      <c r="H238" s="70"/>
      <c r="I238" s="70"/>
      <c r="J238" s="70"/>
    </row>
    <row r="239" spans="2:10" s="25" customFormat="1" ht="13.95" customHeight="1" x14ac:dyDescent="0.2">
      <c r="B239" s="70"/>
      <c r="C239" s="70"/>
      <c r="D239" s="70"/>
      <c r="E239" s="70"/>
      <c r="F239" s="70"/>
      <c r="G239" s="70"/>
      <c r="H239" s="70"/>
      <c r="I239" s="70"/>
      <c r="J239" s="70"/>
    </row>
    <row r="240" spans="2:10" s="25" customFormat="1" ht="13.95" customHeight="1" x14ac:dyDescent="0.2">
      <c r="B240" s="70"/>
      <c r="C240" s="70"/>
      <c r="D240" s="70"/>
      <c r="E240" s="70"/>
      <c r="F240" s="70"/>
      <c r="G240" s="70"/>
      <c r="H240" s="70"/>
      <c r="I240" s="70"/>
      <c r="J240" s="70"/>
    </row>
    <row r="241" spans="2:10" s="25" customFormat="1" ht="13.95" customHeight="1" x14ac:dyDescent="0.2">
      <c r="B241" s="70"/>
      <c r="C241" s="70"/>
      <c r="D241" s="70"/>
      <c r="E241" s="70"/>
      <c r="F241" s="70"/>
      <c r="G241" s="70"/>
      <c r="H241" s="70"/>
      <c r="I241" s="70"/>
      <c r="J241" s="70"/>
    </row>
    <row r="242" spans="2:10" s="25" customFormat="1" ht="13.95" customHeight="1" x14ac:dyDescent="0.2">
      <c r="B242" s="70"/>
      <c r="C242" s="70"/>
      <c r="D242" s="70"/>
      <c r="E242" s="70"/>
      <c r="F242" s="70"/>
      <c r="G242" s="70"/>
      <c r="H242" s="70"/>
      <c r="I242" s="70"/>
      <c r="J242" s="70"/>
    </row>
    <row r="243" spans="2:10" s="25" customFormat="1" ht="13.95" customHeight="1" x14ac:dyDescent="0.2">
      <c r="B243" s="70"/>
      <c r="C243" s="70"/>
      <c r="D243" s="70"/>
      <c r="E243" s="70"/>
      <c r="F243" s="70"/>
      <c r="G243" s="70"/>
      <c r="H243" s="70"/>
      <c r="I243" s="70"/>
      <c r="J243" s="70"/>
    </row>
    <row r="244" spans="2:10" s="25" customFormat="1" ht="13.95" customHeight="1" x14ac:dyDescent="0.2">
      <c r="B244" s="70"/>
      <c r="C244" s="70"/>
      <c r="D244" s="70"/>
      <c r="E244" s="70"/>
      <c r="F244" s="70"/>
      <c r="G244" s="70"/>
      <c r="H244" s="70"/>
      <c r="I244" s="70"/>
      <c r="J244" s="70"/>
    </row>
    <row r="245" spans="2:10" s="25" customFormat="1" ht="13.95" customHeight="1" x14ac:dyDescent="0.2">
      <c r="B245" s="70"/>
      <c r="C245" s="70"/>
      <c r="D245" s="70"/>
      <c r="E245" s="70"/>
      <c r="F245" s="70"/>
      <c r="G245" s="70"/>
      <c r="H245" s="70"/>
      <c r="I245" s="70"/>
      <c r="J245" s="70"/>
    </row>
    <row r="246" spans="2:10" s="25" customFormat="1" ht="13.95" customHeight="1" x14ac:dyDescent="0.2">
      <c r="B246" s="70"/>
      <c r="C246" s="70"/>
      <c r="D246" s="70"/>
      <c r="E246" s="70"/>
      <c r="F246" s="70"/>
      <c r="G246" s="70"/>
      <c r="H246" s="70"/>
      <c r="I246" s="70"/>
      <c r="J246" s="70"/>
    </row>
    <row r="247" spans="2:10" s="25" customFormat="1" ht="13.95" customHeight="1" x14ac:dyDescent="0.2">
      <c r="B247" s="70"/>
      <c r="C247" s="70"/>
      <c r="D247" s="70"/>
      <c r="E247" s="70"/>
      <c r="F247" s="70"/>
      <c r="G247" s="70"/>
      <c r="H247" s="70"/>
      <c r="I247" s="70"/>
      <c r="J247" s="70"/>
    </row>
    <row r="248" spans="2:10" s="25" customFormat="1" ht="13.95" customHeight="1" x14ac:dyDescent="0.2">
      <c r="B248" s="70"/>
      <c r="C248" s="70"/>
      <c r="D248" s="70"/>
      <c r="E248" s="70"/>
      <c r="F248" s="70"/>
      <c r="G248" s="70"/>
      <c r="H248" s="70"/>
      <c r="I248" s="70"/>
      <c r="J248" s="70"/>
    </row>
    <row r="249" spans="2:10" s="25" customFormat="1" ht="13.95" customHeight="1" x14ac:dyDescent="0.2">
      <c r="B249" s="70"/>
      <c r="C249" s="70"/>
      <c r="D249" s="70"/>
      <c r="E249" s="70"/>
      <c r="F249" s="70"/>
      <c r="G249" s="70"/>
      <c r="H249" s="70"/>
      <c r="I249" s="70"/>
      <c r="J249" s="70"/>
    </row>
    <row r="250" spans="2:10" s="25" customFormat="1" ht="13.95" customHeight="1" x14ac:dyDescent="0.2">
      <c r="B250" s="70"/>
      <c r="C250" s="70"/>
      <c r="D250" s="70"/>
      <c r="E250" s="70"/>
      <c r="F250" s="70"/>
      <c r="G250" s="70"/>
      <c r="H250" s="70"/>
      <c r="I250" s="70"/>
      <c r="J250" s="70"/>
    </row>
    <row r="251" spans="2:10" s="25" customFormat="1" ht="13.95" customHeight="1" x14ac:dyDescent="0.2">
      <c r="B251" s="70"/>
      <c r="C251" s="70"/>
      <c r="D251" s="70"/>
      <c r="E251" s="70"/>
      <c r="F251" s="70"/>
      <c r="G251" s="70"/>
      <c r="H251" s="70"/>
      <c r="I251" s="70"/>
      <c r="J251" s="70"/>
    </row>
    <row r="252" spans="2:10" s="25" customFormat="1" ht="13.95" customHeight="1" x14ac:dyDescent="0.2">
      <c r="B252" s="70"/>
      <c r="C252" s="70"/>
      <c r="D252" s="70"/>
      <c r="E252" s="70"/>
      <c r="F252" s="70"/>
      <c r="G252" s="70"/>
      <c r="H252" s="70"/>
      <c r="I252" s="70"/>
      <c r="J252" s="70"/>
    </row>
    <row r="253" spans="2:10" s="25" customFormat="1" ht="13.95" customHeight="1" x14ac:dyDescent="0.2">
      <c r="B253" s="70"/>
      <c r="C253" s="70"/>
      <c r="D253" s="70"/>
      <c r="E253" s="70"/>
      <c r="F253" s="70"/>
      <c r="G253" s="70"/>
      <c r="H253" s="70"/>
      <c r="I253" s="70"/>
      <c r="J253" s="70"/>
    </row>
    <row r="254" spans="2:10" s="25" customFormat="1" ht="13.95" customHeight="1" x14ac:dyDescent="0.2">
      <c r="B254" s="70"/>
      <c r="C254" s="70"/>
      <c r="D254" s="70"/>
      <c r="E254" s="70"/>
      <c r="F254" s="70"/>
      <c r="G254" s="70"/>
      <c r="H254" s="70"/>
      <c r="I254" s="70"/>
      <c r="J254" s="70"/>
    </row>
    <row r="255" spans="2:10" s="25" customFormat="1" ht="13.95" customHeight="1" x14ac:dyDescent="0.2">
      <c r="B255" s="70"/>
      <c r="C255" s="70"/>
      <c r="D255" s="70"/>
      <c r="E255" s="70"/>
      <c r="F255" s="70"/>
      <c r="G255" s="70"/>
      <c r="H255" s="70"/>
      <c r="I255" s="70"/>
      <c r="J255" s="70"/>
    </row>
    <row r="256" spans="2:10" s="25" customFormat="1" ht="13.95" customHeight="1" x14ac:dyDescent="0.2">
      <c r="B256" s="70"/>
      <c r="C256" s="70"/>
      <c r="D256" s="70"/>
      <c r="E256" s="70"/>
      <c r="F256" s="70"/>
      <c r="G256" s="70"/>
      <c r="H256" s="70"/>
      <c r="I256" s="70"/>
      <c r="J256" s="70"/>
    </row>
    <row r="257" spans="2:10" s="25" customFormat="1" ht="13.95" customHeight="1" x14ac:dyDescent="0.2">
      <c r="B257" s="70"/>
      <c r="C257" s="70"/>
      <c r="D257" s="70"/>
      <c r="E257" s="70"/>
      <c r="F257" s="70"/>
      <c r="G257" s="70"/>
      <c r="H257" s="70"/>
      <c r="I257" s="70"/>
      <c r="J257" s="70"/>
    </row>
    <row r="258" spans="2:10" s="25" customFormat="1" ht="13.95" customHeight="1" x14ac:dyDescent="0.2">
      <c r="B258" s="70"/>
      <c r="C258" s="70"/>
      <c r="D258" s="70"/>
      <c r="E258" s="70"/>
      <c r="F258" s="70"/>
      <c r="G258" s="70"/>
      <c r="H258" s="70"/>
      <c r="I258" s="70"/>
      <c r="J258" s="70"/>
    </row>
    <row r="259" spans="2:10" s="25" customFormat="1" ht="13.95" customHeight="1" x14ac:dyDescent="0.2">
      <c r="B259" s="70"/>
      <c r="C259" s="70"/>
      <c r="D259" s="70"/>
      <c r="E259" s="70"/>
      <c r="F259" s="70"/>
      <c r="G259" s="70"/>
      <c r="H259" s="70"/>
      <c r="I259" s="70"/>
      <c r="J259" s="70"/>
    </row>
    <row r="260" spans="2:10" s="25" customFormat="1" ht="13.95" customHeight="1" x14ac:dyDescent="0.2">
      <c r="B260" s="70"/>
      <c r="C260" s="70"/>
      <c r="D260" s="70"/>
      <c r="E260" s="70"/>
      <c r="F260" s="70"/>
      <c r="G260" s="70"/>
      <c r="H260" s="70"/>
      <c r="I260" s="70"/>
      <c r="J260" s="70"/>
    </row>
    <row r="261" spans="2:10" s="25" customFormat="1" ht="13.95" customHeight="1" x14ac:dyDescent="0.2">
      <c r="B261" s="70"/>
      <c r="C261" s="70"/>
      <c r="D261" s="70"/>
      <c r="E261" s="70"/>
      <c r="F261" s="70"/>
      <c r="G261" s="70"/>
      <c r="H261" s="70"/>
      <c r="I261" s="70"/>
      <c r="J261" s="70"/>
    </row>
    <row r="262" spans="2:10" s="25" customFormat="1" ht="13.95" customHeight="1" x14ac:dyDescent="0.2">
      <c r="B262" s="70"/>
      <c r="C262" s="70"/>
      <c r="D262" s="70"/>
      <c r="E262" s="70"/>
      <c r="F262" s="70"/>
      <c r="G262" s="70"/>
      <c r="H262" s="70"/>
      <c r="I262" s="70"/>
      <c r="J262" s="70"/>
    </row>
    <row r="263" spans="2:10" s="25" customFormat="1" ht="13.95" customHeight="1" x14ac:dyDescent="0.2">
      <c r="B263" s="70"/>
      <c r="C263" s="70"/>
      <c r="D263" s="70"/>
      <c r="E263" s="70"/>
      <c r="F263" s="70"/>
      <c r="G263" s="70"/>
      <c r="H263" s="70"/>
      <c r="I263" s="70"/>
      <c r="J263" s="70"/>
    </row>
    <row r="264" spans="2:10" s="25" customFormat="1" ht="13.95" customHeight="1" x14ac:dyDescent="0.2">
      <c r="B264" s="70"/>
      <c r="C264" s="70"/>
      <c r="D264" s="70"/>
      <c r="E264" s="70"/>
      <c r="F264" s="70"/>
      <c r="G264" s="70"/>
      <c r="H264" s="70"/>
      <c r="I264" s="70"/>
      <c r="J264" s="70"/>
    </row>
    <row r="265" spans="2:10" s="25" customFormat="1" ht="13.95" customHeight="1" x14ac:dyDescent="0.2">
      <c r="B265" s="70"/>
      <c r="C265" s="70"/>
      <c r="D265" s="70"/>
      <c r="E265" s="70"/>
      <c r="F265" s="70"/>
      <c r="G265" s="70"/>
      <c r="H265" s="70"/>
      <c r="I265" s="70"/>
      <c r="J265" s="70"/>
    </row>
    <row r="266" spans="2:10" s="25" customFormat="1" ht="13.95" customHeight="1" x14ac:dyDescent="0.2">
      <c r="B266" s="70"/>
      <c r="C266" s="70"/>
      <c r="D266" s="70"/>
      <c r="E266" s="70"/>
      <c r="F266" s="70"/>
      <c r="G266" s="70"/>
      <c r="H266" s="70"/>
      <c r="I266" s="70"/>
      <c r="J266" s="70"/>
    </row>
    <row r="267" spans="2:10" s="25" customFormat="1" ht="13.95" customHeight="1" x14ac:dyDescent="0.2">
      <c r="B267" s="70"/>
      <c r="C267" s="70"/>
      <c r="D267" s="70"/>
      <c r="E267" s="70"/>
      <c r="F267" s="70"/>
      <c r="G267" s="70"/>
      <c r="H267" s="70"/>
      <c r="I267" s="70"/>
      <c r="J267" s="70"/>
    </row>
    <row r="268" spans="2:10" s="25" customFormat="1" ht="13.95" customHeight="1" x14ac:dyDescent="0.2">
      <c r="B268" s="70"/>
      <c r="C268" s="70"/>
      <c r="D268" s="70"/>
      <c r="E268" s="70"/>
      <c r="F268" s="70"/>
      <c r="G268" s="70"/>
      <c r="H268" s="70"/>
      <c r="I268" s="70"/>
      <c r="J268" s="70"/>
    </row>
    <row r="269" spans="2:10" s="25" customFormat="1" ht="13.95" customHeight="1" x14ac:dyDescent="0.2">
      <c r="B269" s="70"/>
      <c r="C269" s="70"/>
      <c r="D269" s="70"/>
      <c r="E269" s="70"/>
      <c r="F269" s="70"/>
      <c r="G269" s="70"/>
      <c r="H269" s="70"/>
      <c r="I269" s="70"/>
      <c r="J269" s="70"/>
    </row>
    <row r="270" spans="2:10" s="25" customFormat="1" ht="13.95" customHeight="1" x14ac:dyDescent="0.2">
      <c r="B270" s="70"/>
      <c r="C270" s="70"/>
      <c r="D270" s="70"/>
      <c r="E270" s="70"/>
      <c r="F270" s="70"/>
      <c r="G270" s="70"/>
      <c r="H270" s="70"/>
      <c r="I270" s="70"/>
      <c r="J270" s="70"/>
    </row>
    <row r="271" spans="2:10" s="25" customFormat="1" ht="13.95" customHeight="1" x14ac:dyDescent="0.2">
      <c r="B271" s="70"/>
      <c r="C271" s="70"/>
      <c r="D271" s="70"/>
      <c r="E271" s="70"/>
      <c r="F271" s="70"/>
      <c r="G271" s="70"/>
      <c r="H271" s="70"/>
      <c r="I271" s="70"/>
      <c r="J271" s="70"/>
    </row>
    <row r="272" spans="2:10" s="25" customFormat="1" ht="13.95" customHeight="1" x14ac:dyDescent="0.2">
      <c r="B272" s="70"/>
      <c r="C272" s="70"/>
      <c r="D272" s="70"/>
      <c r="E272" s="70"/>
      <c r="F272" s="70"/>
      <c r="G272" s="70"/>
      <c r="H272" s="70"/>
      <c r="I272" s="70"/>
      <c r="J272" s="70"/>
    </row>
    <row r="273" spans="2:10" s="25" customFormat="1" ht="13.95" customHeight="1" x14ac:dyDescent="0.2">
      <c r="B273" s="70"/>
      <c r="C273" s="70"/>
      <c r="D273" s="70"/>
      <c r="E273" s="70"/>
      <c r="F273" s="70"/>
      <c r="G273" s="70"/>
      <c r="H273" s="70"/>
      <c r="I273" s="70"/>
      <c r="J273" s="70"/>
    </row>
    <row r="274" spans="2:10" s="25" customFormat="1" ht="13.95" customHeight="1" x14ac:dyDescent="0.2">
      <c r="B274" s="70"/>
      <c r="C274" s="70"/>
      <c r="D274" s="70"/>
      <c r="E274" s="70"/>
      <c r="F274" s="70"/>
      <c r="G274" s="70"/>
      <c r="H274" s="70"/>
      <c r="I274" s="70"/>
      <c r="J274" s="70"/>
    </row>
    <row r="275" spans="2:10" s="25" customFormat="1" ht="13.95" customHeight="1" x14ac:dyDescent="0.2">
      <c r="B275" s="70"/>
      <c r="C275" s="70"/>
      <c r="D275" s="70"/>
      <c r="E275" s="70"/>
      <c r="F275" s="70"/>
      <c r="G275" s="70"/>
      <c r="H275" s="70"/>
      <c r="I275" s="70"/>
      <c r="J275" s="70"/>
    </row>
    <row r="276" spans="2:10" s="25" customFormat="1" ht="13.95" customHeight="1" x14ac:dyDescent="0.2">
      <c r="B276" s="70"/>
      <c r="C276" s="70"/>
      <c r="D276" s="70"/>
      <c r="E276" s="70"/>
      <c r="F276" s="70"/>
      <c r="G276" s="70"/>
      <c r="H276" s="70"/>
      <c r="I276" s="70"/>
      <c r="J276" s="70"/>
    </row>
    <row r="277" spans="2:10" s="25" customFormat="1" ht="13.95" customHeight="1" x14ac:dyDescent="0.2">
      <c r="B277" s="70"/>
      <c r="C277" s="70"/>
      <c r="D277" s="70"/>
      <c r="E277" s="70"/>
      <c r="F277" s="70"/>
      <c r="G277" s="70"/>
      <c r="H277" s="70"/>
      <c r="I277" s="70"/>
      <c r="J277" s="70"/>
    </row>
    <row r="278" spans="2:10" s="25" customFormat="1" ht="13.95" customHeight="1" x14ac:dyDescent="0.2">
      <c r="B278" s="70"/>
      <c r="C278" s="70"/>
      <c r="D278" s="70"/>
      <c r="E278" s="70"/>
      <c r="F278" s="70"/>
      <c r="G278" s="70"/>
      <c r="H278" s="70"/>
      <c r="I278" s="70"/>
      <c r="J278" s="70"/>
    </row>
    <row r="279" spans="2:10" s="25" customFormat="1" ht="13.95" customHeight="1" x14ac:dyDescent="0.2">
      <c r="B279" s="70"/>
      <c r="C279" s="70"/>
      <c r="D279" s="70"/>
      <c r="E279" s="70"/>
      <c r="F279" s="70"/>
      <c r="G279" s="70"/>
      <c r="H279" s="70"/>
      <c r="I279" s="70"/>
      <c r="J279" s="70"/>
    </row>
    <row r="280" spans="2:10" s="25" customFormat="1" ht="13.95" customHeight="1" x14ac:dyDescent="0.2">
      <c r="B280" s="70"/>
      <c r="C280" s="70"/>
      <c r="D280" s="70"/>
      <c r="E280" s="70"/>
      <c r="F280" s="70"/>
      <c r="G280" s="70"/>
      <c r="H280" s="70"/>
      <c r="I280" s="70"/>
      <c r="J280" s="70"/>
    </row>
    <row r="281" spans="2:10" s="25" customFormat="1" ht="13.95" customHeight="1" x14ac:dyDescent="0.2">
      <c r="B281" s="70"/>
      <c r="C281" s="70"/>
      <c r="D281" s="70"/>
      <c r="E281" s="70"/>
      <c r="F281" s="70"/>
      <c r="G281" s="70"/>
      <c r="H281" s="70"/>
      <c r="I281" s="70"/>
      <c r="J281" s="70"/>
    </row>
    <row r="282" spans="2:10" s="25" customFormat="1" ht="13.95" customHeight="1" x14ac:dyDescent="0.2">
      <c r="B282" s="70"/>
      <c r="C282" s="70"/>
      <c r="D282" s="70"/>
      <c r="E282" s="70"/>
      <c r="F282" s="70"/>
      <c r="G282" s="70"/>
      <c r="H282" s="70"/>
      <c r="I282" s="70"/>
      <c r="J282" s="70"/>
    </row>
    <row r="283" spans="2:10" s="25" customFormat="1" ht="13.95" customHeight="1" x14ac:dyDescent="0.2">
      <c r="B283" s="70"/>
      <c r="C283" s="70"/>
      <c r="D283" s="70"/>
      <c r="E283" s="70"/>
      <c r="F283" s="70"/>
      <c r="G283" s="70"/>
      <c r="H283" s="70"/>
      <c r="I283" s="70"/>
      <c r="J283" s="70"/>
    </row>
    <row r="284" spans="2:10" s="25" customFormat="1" ht="13.95" customHeight="1" x14ac:dyDescent="0.2">
      <c r="B284" s="70"/>
      <c r="C284" s="70"/>
      <c r="D284" s="70"/>
      <c r="E284" s="70"/>
      <c r="F284" s="70"/>
      <c r="G284" s="70"/>
      <c r="H284" s="70"/>
      <c r="I284" s="70"/>
      <c r="J284" s="70"/>
    </row>
    <row r="285" spans="2:10" s="25" customFormat="1" ht="13.95" customHeight="1" x14ac:dyDescent="0.2">
      <c r="B285" s="70"/>
      <c r="C285" s="70"/>
      <c r="D285" s="70"/>
      <c r="E285" s="70"/>
      <c r="F285" s="70"/>
      <c r="G285" s="70"/>
      <c r="H285" s="70"/>
      <c r="I285" s="70"/>
      <c r="J285" s="70"/>
    </row>
    <row r="286" spans="2:10" s="25" customFormat="1" ht="13.95" customHeight="1" x14ac:dyDescent="0.2">
      <c r="B286" s="70"/>
      <c r="C286" s="70"/>
      <c r="D286" s="70"/>
      <c r="E286" s="70"/>
      <c r="F286" s="70"/>
      <c r="G286" s="70"/>
      <c r="H286" s="70"/>
      <c r="I286" s="70"/>
      <c r="J286" s="70"/>
    </row>
    <row r="287" spans="2:10" s="25" customFormat="1" ht="13.95" customHeight="1" x14ac:dyDescent="0.2">
      <c r="B287" s="70"/>
      <c r="C287" s="70"/>
      <c r="D287" s="70"/>
      <c r="E287" s="70"/>
      <c r="F287" s="70"/>
      <c r="G287" s="70"/>
      <c r="H287" s="70"/>
      <c r="I287" s="70"/>
      <c r="J287" s="70"/>
    </row>
    <row r="288" spans="2:10" s="25" customFormat="1" ht="13.95" customHeight="1" x14ac:dyDescent="0.2">
      <c r="B288" s="70"/>
      <c r="C288" s="70"/>
      <c r="D288" s="70"/>
      <c r="E288" s="70"/>
      <c r="F288" s="70"/>
      <c r="G288" s="70"/>
      <c r="H288" s="70"/>
      <c r="I288" s="70"/>
      <c r="J288" s="70"/>
    </row>
    <row r="289" spans="2:10" s="25" customFormat="1" ht="13.95" customHeight="1" x14ac:dyDescent="0.2">
      <c r="B289" s="70"/>
      <c r="C289" s="70"/>
      <c r="D289" s="70"/>
      <c r="E289" s="70"/>
      <c r="F289" s="70"/>
      <c r="G289" s="70"/>
      <c r="H289" s="70"/>
      <c r="I289" s="70"/>
      <c r="J289" s="70"/>
    </row>
    <row r="290" spans="2:10" s="25" customFormat="1" ht="13.95" customHeight="1" x14ac:dyDescent="0.2">
      <c r="B290" s="70"/>
      <c r="C290" s="70"/>
      <c r="D290" s="70"/>
      <c r="E290" s="70"/>
      <c r="F290" s="70"/>
      <c r="G290" s="70"/>
      <c r="H290" s="70"/>
      <c r="I290" s="70"/>
      <c r="J290" s="70"/>
    </row>
    <row r="291" spans="2:10" s="25" customFormat="1" ht="13.95" customHeight="1" x14ac:dyDescent="0.2">
      <c r="B291" s="70"/>
      <c r="C291" s="70"/>
      <c r="D291" s="70"/>
      <c r="E291" s="70"/>
      <c r="F291" s="70"/>
      <c r="G291" s="70"/>
      <c r="H291" s="70"/>
      <c r="I291" s="70"/>
      <c r="J291" s="70"/>
    </row>
    <row r="292" spans="2:10" s="25" customFormat="1" ht="13.95" customHeight="1" x14ac:dyDescent="0.2">
      <c r="B292" s="70"/>
      <c r="C292" s="70"/>
      <c r="D292" s="70"/>
      <c r="E292" s="70"/>
      <c r="F292" s="70"/>
      <c r="G292" s="70"/>
      <c r="H292" s="70"/>
      <c r="I292" s="70"/>
      <c r="J292" s="70"/>
    </row>
    <row r="293" spans="2:10" s="25" customFormat="1" ht="13.95" customHeight="1" x14ac:dyDescent="0.2">
      <c r="B293" s="70"/>
      <c r="C293" s="70"/>
      <c r="D293" s="70"/>
      <c r="E293" s="70"/>
      <c r="F293" s="70"/>
      <c r="G293" s="70"/>
      <c r="H293" s="70"/>
      <c r="I293" s="70"/>
      <c r="J293" s="70"/>
    </row>
    <row r="294" spans="2:10" s="25" customFormat="1" ht="13.95" customHeight="1" x14ac:dyDescent="0.2">
      <c r="B294" s="70"/>
      <c r="C294" s="70"/>
      <c r="D294" s="70"/>
      <c r="E294" s="70"/>
      <c r="F294" s="70"/>
      <c r="G294" s="70"/>
      <c r="H294" s="70"/>
      <c r="I294" s="70"/>
      <c r="J294" s="70"/>
    </row>
    <row r="295" spans="2:10" s="25" customFormat="1" ht="13.95" customHeight="1" x14ac:dyDescent="0.2">
      <c r="B295" s="70"/>
      <c r="C295" s="70"/>
      <c r="D295" s="70"/>
      <c r="E295" s="70"/>
      <c r="F295" s="70"/>
      <c r="G295" s="70"/>
      <c r="H295" s="70"/>
      <c r="I295" s="70"/>
      <c r="J295" s="70"/>
    </row>
    <row r="296" spans="2:10" s="25" customFormat="1" ht="13.95" customHeight="1" x14ac:dyDescent="0.2">
      <c r="B296" s="70"/>
      <c r="C296" s="70"/>
      <c r="D296" s="70"/>
      <c r="E296" s="70"/>
      <c r="F296" s="70"/>
      <c r="G296" s="70"/>
      <c r="H296" s="70"/>
      <c r="I296" s="70"/>
      <c r="J296" s="70"/>
    </row>
    <row r="297" spans="2:10" s="25" customFormat="1" ht="13.95" customHeight="1" x14ac:dyDescent="0.2">
      <c r="B297" s="70"/>
      <c r="C297" s="70"/>
      <c r="D297" s="70"/>
      <c r="E297" s="70"/>
      <c r="F297" s="70"/>
      <c r="G297" s="70"/>
      <c r="H297" s="70"/>
      <c r="I297" s="70"/>
      <c r="J297" s="70"/>
    </row>
    <row r="298" spans="2:10" s="25" customFormat="1" ht="13.95" customHeight="1" x14ac:dyDescent="0.2">
      <c r="B298" s="70"/>
      <c r="C298" s="70"/>
      <c r="D298" s="70"/>
      <c r="E298" s="70"/>
      <c r="F298" s="70"/>
      <c r="G298" s="70"/>
      <c r="H298" s="70"/>
      <c r="I298" s="70"/>
      <c r="J298" s="70"/>
    </row>
    <row r="299" spans="2:10" s="25" customFormat="1" ht="13.95" customHeight="1" x14ac:dyDescent="0.2">
      <c r="B299" s="70"/>
      <c r="C299" s="70"/>
      <c r="D299" s="70"/>
      <c r="E299" s="70"/>
      <c r="F299" s="70"/>
      <c r="G299" s="70"/>
      <c r="H299" s="70"/>
      <c r="I299" s="70"/>
      <c r="J299" s="70"/>
    </row>
    <row r="300" spans="2:10" s="25" customFormat="1" ht="13.95" customHeight="1" x14ac:dyDescent="0.2">
      <c r="B300" s="70"/>
      <c r="C300" s="70"/>
      <c r="D300" s="70"/>
      <c r="E300" s="70"/>
      <c r="F300" s="70"/>
      <c r="G300" s="70"/>
      <c r="H300" s="70"/>
      <c r="I300" s="70"/>
      <c r="J300" s="70"/>
    </row>
    <row r="301" spans="2:10" s="25" customFormat="1" ht="13.95" customHeight="1" x14ac:dyDescent="0.2">
      <c r="B301" s="70"/>
      <c r="C301" s="70"/>
      <c r="D301" s="70"/>
      <c r="E301" s="70"/>
      <c r="F301" s="70"/>
      <c r="G301" s="70"/>
      <c r="H301" s="70"/>
      <c r="I301" s="70"/>
      <c r="J301" s="70"/>
    </row>
    <row r="302" spans="2:10" s="25" customFormat="1" ht="13.95" customHeight="1" x14ac:dyDescent="0.2">
      <c r="B302" s="70"/>
      <c r="C302" s="70"/>
      <c r="D302" s="70"/>
      <c r="E302" s="70"/>
      <c r="F302" s="70"/>
      <c r="G302" s="70"/>
      <c r="H302" s="70"/>
      <c r="I302" s="70"/>
      <c r="J302" s="70"/>
    </row>
    <row r="303" spans="2:10" s="25" customFormat="1" ht="13.95" customHeight="1" x14ac:dyDescent="0.2">
      <c r="B303" s="70"/>
      <c r="C303" s="70"/>
      <c r="D303" s="70"/>
      <c r="E303" s="70"/>
      <c r="F303" s="70"/>
      <c r="G303" s="70"/>
      <c r="H303" s="70"/>
      <c r="I303" s="70"/>
      <c r="J303" s="70"/>
    </row>
    <row r="304" spans="2:10" s="25" customFormat="1" ht="13.95" customHeight="1" x14ac:dyDescent="0.2">
      <c r="B304" s="70"/>
      <c r="C304" s="70"/>
      <c r="D304" s="70"/>
      <c r="E304" s="70"/>
      <c r="F304" s="70"/>
      <c r="G304" s="70"/>
      <c r="H304" s="70"/>
      <c r="I304" s="70"/>
      <c r="J304" s="70"/>
    </row>
    <row r="305" spans="2:10" s="25" customFormat="1" ht="13.95" customHeight="1" x14ac:dyDescent="0.2">
      <c r="B305" s="70"/>
      <c r="C305" s="70"/>
      <c r="D305" s="70"/>
      <c r="E305" s="70"/>
      <c r="F305" s="70"/>
      <c r="G305" s="70"/>
      <c r="H305" s="70"/>
      <c r="I305" s="70"/>
      <c r="J305" s="70"/>
    </row>
    <row r="306" spans="2:10" s="25" customFormat="1" ht="13.95" customHeight="1" x14ac:dyDescent="0.2">
      <c r="B306" s="70"/>
      <c r="C306" s="70"/>
      <c r="D306" s="70"/>
      <c r="E306" s="70"/>
      <c r="F306" s="70"/>
      <c r="G306" s="70"/>
      <c r="H306" s="70"/>
      <c r="I306" s="70"/>
      <c r="J306" s="70"/>
    </row>
    <row r="307" spans="2:10" s="25" customFormat="1" ht="13.95" customHeight="1" x14ac:dyDescent="0.2">
      <c r="B307" s="70"/>
      <c r="C307" s="70"/>
      <c r="D307" s="70"/>
      <c r="E307" s="70"/>
      <c r="F307" s="70"/>
      <c r="G307" s="70"/>
      <c r="H307" s="70"/>
      <c r="I307" s="70"/>
      <c r="J307" s="70"/>
    </row>
    <row r="308" spans="2:10" s="25" customFormat="1" ht="13.95" customHeight="1" x14ac:dyDescent="0.2">
      <c r="B308" s="70"/>
      <c r="C308" s="70"/>
      <c r="D308" s="70"/>
      <c r="E308" s="70"/>
      <c r="F308" s="70"/>
      <c r="G308" s="70"/>
      <c r="H308" s="70"/>
      <c r="I308" s="70"/>
      <c r="J308" s="70"/>
    </row>
    <row r="309" spans="2:10" s="25" customFormat="1" ht="13.95" customHeight="1" x14ac:dyDescent="0.2">
      <c r="B309" s="70"/>
      <c r="C309" s="70"/>
      <c r="D309" s="70"/>
      <c r="E309" s="70"/>
      <c r="F309" s="70"/>
      <c r="G309" s="70"/>
      <c r="H309" s="70"/>
      <c r="I309" s="70"/>
      <c r="J309" s="70"/>
    </row>
    <row r="310" spans="2:10" s="25" customFormat="1" ht="13.95" customHeight="1" x14ac:dyDescent="0.2">
      <c r="B310" s="70"/>
      <c r="C310" s="70"/>
      <c r="D310" s="70"/>
      <c r="E310" s="70"/>
      <c r="F310" s="70"/>
      <c r="G310" s="70"/>
      <c r="H310" s="70"/>
      <c r="I310" s="70"/>
      <c r="J310" s="70"/>
    </row>
    <row r="311" spans="2:10" s="25" customFormat="1" ht="13.95" customHeight="1" x14ac:dyDescent="0.2">
      <c r="B311" s="70"/>
      <c r="C311" s="70"/>
      <c r="D311" s="70"/>
      <c r="E311" s="70"/>
      <c r="F311" s="70"/>
      <c r="G311" s="70"/>
      <c r="H311" s="70"/>
      <c r="I311" s="70"/>
      <c r="J311" s="70"/>
    </row>
    <row r="312" spans="2:10" s="25" customFormat="1" ht="13.95" customHeight="1" x14ac:dyDescent="0.2">
      <c r="B312" s="70"/>
      <c r="C312" s="70"/>
      <c r="D312" s="70"/>
      <c r="E312" s="70"/>
      <c r="F312" s="70"/>
      <c r="G312" s="70"/>
      <c r="H312" s="70"/>
      <c r="I312" s="70"/>
      <c r="J312" s="70"/>
    </row>
    <row r="313" spans="2:10" s="25" customFormat="1" ht="13.95" customHeight="1" x14ac:dyDescent="0.2">
      <c r="B313" s="70"/>
      <c r="C313" s="70"/>
      <c r="D313" s="70"/>
      <c r="E313" s="70"/>
      <c r="F313" s="70"/>
      <c r="G313" s="70"/>
      <c r="H313" s="70"/>
      <c r="I313" s="70"/>
      <c r="J313" s="70"/>
    </row>
    <row r="314" spans="2:10" s="25" customFormat="1" ht="13.95" customHeight="1" x14ac:dyDescent="0.2">
      <c r="B314" s="70"/>
      <c r="C314" s="70"/>
      <c r="D314" s="70"/>
      <c r="E314" s="70"/>
      <c r="F314" s="70"/>
      <c r="G314" s="70"/>
      <c r="H314" s="70"/>
      <c r="I314" s="70"/>
      <c r="J314" s="70"/>
    </row>
    <row r="315" spans="2:10" s="25" customFormat="1" ht="13.95" customHeight="1" x14ac:dyDescent="0.2">
      <c r="B315" s="70"/>
      <c r="C315" s="70"/>
      <c r="D315" s="70"/>
      <c r="E315" s="70"/>
      <c r="F315" s="70"/>
      <c r="G315" s="70"/>
      <c r="H315" s="70"/>
      <c r="I315" s="70"/>
      <c r="J315" s="70"/>
    </row>
    <row r="316" spans="2:10" s="25" customFormat="1" ht="13.95" customHeight="1" x14ac:dyDescent="0.2">
      <c r="B316" s="70"/>
      <c r="C316" s="70"/>
      <c r="D316" s="70"/>
      <c r="E316" s="70"/>
      <c r="F316" s="70"/>
      <c r="G316" s="70"/>
      <c r="H316" s="70"/>
      <c r="I316" s="70"/>
      <c r="J316" s="70"/>
    </row>
    <row r="317" spans="2:10" s="25" customFormat="1" ht="13.95" customHeight="1" x14ac:dyDescent="0.2">
      <c r="B317" s="70"/>
      <c r="C317" s="70"/>
      <c r="D317" s="70"/>
      <c r="E317" s="70"/>
      <c r="F317" s="70"/>
      <c r="G317" s="70"/>
      <c r="H317" s="70"/>
      <c r="I317" s="70"/>
      <c r="J317" s="70"/>
    </row>
    <row r="318" spans="2:10" s="25" customFormat="1" ht="13.95" customHeight="1" x14ac:dyDescent="0.2">
      <c r="B318" s="70"/>
      <c r="C318" s="70"/>
      <c r="D318" s="70"/>
      <c r="E318" s="70"/>
      <c r="F318" s="70"/>
      <c r="G318" s="70"/>
      <c r="H318" s="70"/>
      <c r="I318" s="70"/>
      <c r="J318" s="70"/>
    </row>
    <row r="319" spans="2:10" s="25" customFormat="1" ht="13.95" customHeight="1" x14ac:dyDescent="0.2">
      <c r="B319" s="70"/>
      <c r="C319" s="70"/>
      <c r="D319" s="70"/>
      <c r="E319" s="70"/>
      <c r="F319" s="70"/>
      <c r="G319" s="70"/>
      <c r="H319" s="70"/>
      <c r="I319" s="70"/>
      <c r="J319" s="70"/>
    </row>
    <row r="320" spans="2:10" s="25" customFormat="1" ht="13.95" customHeight="1" x14ac:dyDescent="0.2">
      <c r="B320" s="70"/>
      <c r="C320" s="70"/>
      <c r="D320" s="70"/>
      <c r="E320" s="70"/>
      <c r="F320" s="70"/>
      <c r="G320" s="70"/>
      <c r="H320" s="70"/>
      <c r="I320" s="70"/>
      <c r="J320" s="70"/>
    </row>
    <row r="321" spans="2:10" s="25" customFormat="1" ht="13.95" customHeight="1" x14ac:dyDescent="0.2">
      <c r="B321" s="70"/>
      <c r="C321" s="70"/>
      <c r="D321" s="70"/>
      <c r="E321" s="70"/>
      <c r="F321" s="70"/>
      <c r="G321" s="70"/>
      <c r="H321" s="70"/>
      <c r="I321" s="70"/>
      <c r="J321" s="70"/>
    </row>
    <row r="322" spans="2:10" s="25" customFormat="1" ht="13.95" customHeight="1" x14ac:dyDescent="0.2">
      <c r="B322" s="70"/>
      <c r="C322" s="70"/>
      <c r="D322" s="70"/>
      <c r="E322" s="70"/>
      <c r="F322" s="70"/>
      <c r="G322" s="70"/>
      <c r="H322" s="70"/>
      <c r="I322" s="70"/>
      <c r="J322" s="70"/>
    </row>
    <row r="323" spans="2:10" s="25" customFormat="1" ht="13.95" customHeight="1" x14ac:dyDescent="0.2">
      <c r="B323" s="70"/>
      <c r="C323" s="70"/>
      <c r="D323" s="70"/>
      <c r="E323" s="70"/>
      <c r="F323" s="70"/>
      <c r="G323" s="70"/>
      <c r="H323" s="70"/>
      <c r="I323" s="70"/>
      <c r="J323" s="70"/>
    </row>
    <row r="324" spans="2:10" s="25" customFormat="1" ht="13.95" customHeight="1" x14ac:dyDescent="0.2">
      <c r="B324" s="70"/>
      <c r="C324" s="70"/>
      <c r="D324" s="70"/>
      <c r="E324" s="70"/>
      <c r="F324" s="70"/>
      <c r="G324" s="70"/>
      <c r="H324" s="70"/>
      <c r="I324" s="70"/>
      <c r="J324" s="70"/>
    </row>
    <row r="325" spans="2:10" s="25" customFormat="1" ht="13.95" customHeight="1" x14ac:dyDescent="0.2">
      <c r="B325" s="70"/>
      <c r="C325" s="70"/>
      <c r="D325" s="70"/>
      <c r="E325" s="70"/>
      <c r="F325" s="70"/>
      <c r="G325" s="70"/>
      <c r="H325" s="70"/>
      <c r="I325" s="70"/>
      <c r="J325" s="70"/>
    </row>
    <row r="326" spans="2:10" s="25" customFormat="1" ht="13.95" customHeight="1" x14ac:dyDescent="0.2">
      <c r="B326" s="70"/>
      <c r="C326" s="70"/>
      <c r="D326" s="70"/>
      <c r="E326" s="70"/>
      <c r="F326" s="70"/>
      <c r="G326" s="70"/>
      <c r="H326" s="70"/>
      <c r="I326" s="70"/>
      <c r="J326" s="70"/>
    </row>
    <row r="327" spans="2:10" s="25" customFormat="1" ht="13.95" customHeight="1" x14ac:dyDescent="0.2">
      <c r="B327" s="70"/>
      <c r="C327" s="70"/>
      <c r="D327" s="70"/>
      <c r="E327" s="70"/>
      <c r="F327" s="70"/>
      <c r="G327" s="70"/>
      <c r="H327" s="70"/>
      <c r="I327" s="70"/>
      <c r="J327" s="70"/>
    </row>
    <row r="328" spans="2:10" s="25" customFormat="1" ht="13.95" customHeight="1" x14ac:dyDescent="0.2">
      <c r="B328" s="70"/>
      <c r="C328" s="70"/>
      <c r="D328" s="70"/>
      <c r="E328" s="70"/>
      <c r="F328" s="70"/>
      <c r="G328" s="70"/>
      <c r="H328" s="70"/>
      <c r="I328" s="70"/>
      <c r="J328" s="70"/>
    </row>
    <row r="329" spans="2:10" s="25" customFormat="1" ht="13.95" customHeight="1" x14ac:dyDescent="0.2">
      <c r="B329" s="70"/>
      <c r="C329" s="70"/>
      <c r="D329" s="70"/>
      <c r="E329" s="70"/>
      <c r="F329" s="70"/>
      <c r="G329" s="70"/>
      <c r="H329" s="70"/>
      <c r="I329" s="70"/>
      <c r="J329" s="70"/>
    </row>
    <row r="330" spans="2:10" s="25" customFormat="1" ht="13.95" customHeight="1" x14ac:dyDescent="0.2">
      <c r="B330" s="70"/>
      <c r="C330" s="70"/>
      <c r="D330" s="70"/>
      <c r="E330" s="70"/>
      <c r="F330" s="70"/>
      <c r="G330" s="70"/>
      <c r="H330" s="70"/>
      <c r="I330" s="70"/>
      <c r="J330" s="70"/>
    </row>
    <row r="331" spans="2:10" s="25" customFormat="1" ht="13.95" customHeight="1" x14ac:dyDescent="0.2">
      <c r="B331" s="70"/>
      <c r="C331" s="70"/>
      <c r="D331" s="70"/>
      <c r="E331" s="70"/>
      <c r="F331" s="70"/>
      <c r="G331" s="70"/>
      <c r="H331" s="70"/>
      <c r="I331" s="70"/>
      <c r="J331" s="70"/>
    </row>
    <row r="332" spans="2:10" s="25" customFormat="1" ht="13.95" customHeight="1" x14ac:dyDescent="0.2">
      <c r="B332" s="70"/>
      <c r="C332" s="70"/>
      <c r="D332" s="70"/>
      <c r="E332" s="70"/>
      <c r="F332" s="70"/>
      <c r="G332" s="70"/>
      <c r="H332" s="70"/>
      <c r="I332" s="70"/>
      <c r="J332" s="70"/>
    </row>
    <row r="333" spans="2:10" s="25" customFormat="1" ht="13.95" customHeight="1" x14ac:dyDescent="0.2">
      <c r="B333" s="70"/>
      <c r="C333" s="70"/>
      <c r="D333" s="70"/>
      <c r="E333" s="70"/>
      <c r="F333" s="70"/>
      <c r="G333" s="70"/>
      <c r="H333" s="70"/>
      <c r="I333" s="70"/>
      <c r="J333" s="70"/>
    </row>
    <row r="334" spans="2:10" s="25" customFormat="1" ht="13.95" customHeight="1" x14ac:dyDescent="0.2">
      <c r="B334" s="70"/>
      <c r="C334" s="70"/>
      <c r="D334" s="70"/>
      <c r="E334" s="70"/>
      <c r="F334" s="70"/>
      <c r="G334" s="70"/>
      <c r="H334" s="70"/>
      <c r="I334" s="70"/>
      <c r="J334" s="70"/>
    </row>
    <row r="335" spans="2:10" s="25" customFormat="1" ht="13.95" customHeight="1" x14ac:dyDescent="0.2">
      <c r="B335" s="70"/>
      <c r="C335" s="70"/>
      <c r="D335" s="70"/>
      <c r="E335" s="70"/>
      <c r="F335" s="70"/>
      <c r="G335" s="70"/>
      <c r="H335" s="70"/>
      <c r="I335" s="70"/>
      <c r="J335" s="70"/>
    </row>
    <row r="336" spans="2:10" s="25" customFormat="1" ht="13.95" customHeight="1" x14ac:dyDescent="0.2">
      <c r="B336" s="70"/>
      <c r="C336" s="70"/>
      <c r="D336" s="70"/>
      <c r="E336" s="70"/>
      <c r="F336" s="70"/>
      <c r="G336" s="70"/>
      <c r="H336" s="70"/>
      <c r="I336" s="70"/>
      <c r="J336" s="70"/>
    </row>
    <row r="337" spans="2:10" s="25" customFormat="1" ht="13.95" customHeight="1" x14ac:dyDescent="0.2">
      <c r="B337" s="70"/>
      <c r="C337" s="70"/>
      <c r="D337" s="70"/>
      <c r="E337" s="70"/>
      <c r="F337" s="70"/>
      <c r="G337" s="70"/>
      <c r="H337" s="70"/>
      <c r="I337" s="70"/>
      <c r="J337" s="70"/>
    </row>
    <row r="338" spans="2:10" s="25" customFormat="1" ht="13.95" customHeight="1" x14ac:dyDescent="0.2">
      <c r="B338" s="70"/>
      <c r="C338" s="70"/>
      <c r="D338" s="70"/>
      <c r="E338" s="70"/>
      <c r="F338" s="70"/>
      <c r="G338" s="70"/>
      <c r="H338" s="70"/>
      <c r="I338" s="70"/>
      <c r="J338" s="70"/>
    </row>
    <row r="339" spans="2:10" s="25" customFormat="1" ht="13.95" customHeight="1" x14ac:dyDescent="0.2">
      <c r="B339" s="70"/>
      <c r="C339" s="70"/>
      <c r="D339" s="70"/>
      <c r="E339" s="70"/>
      <c r="F339" s="70"/>
      <c r="G339" s="70"/>
      <c r="H339" s="70"/>
      <c r="I339" s="70"/>
      <c r="J339" s="70"/>
    </row>
    <row r="340" spans="2:10" s="25" customFormat="1" ht="13.95" customHeight="1" x14ac:dyDescent="0.2">
      <c r="B340" s="70"/>
      <c r="C340" s="70"/>
      <c r="D340" s="70"/>
      <c r="E340" s="70"/>
      <c r="F340" s="70"/>
      <c r="G340" s="70"/>
      <c r="H340" s="70"/>
      <c r="I340" s="70"/>
      <c r="J340" s="70"/>
    </row>
    <row r="341" spans="2:10" s="25" customFormat="1" ht="13.95" customHeight="1" x14ac:dyDescent="0.2">
      <c r="B341" s="70"/>
      <c r="C341" s="70"/>
      <c r="D341" s="70"/>
      <c r="E341" s="70"/>
      <c r="F341" s="70"/>
      <c r="G341" s="70"/>
      <c r="H341" s="70"/>
      <c r="I341" s="70"/>
      <c r="J341" s="70"/>
    </row>
    <row r="342" spans="2:10" s="25" customFormat="1" ht="13.95" customHeight="1" x14ac:dyDescent="0.2">
      <c r="B342" s="70"/>
      <c r="C342" s="70"/>
      <c r="D342" s="70"/>
      <c r="E342" s="70"/>
      <c r="F342" s="70"/>
      <c r="G342" s="70"/>
      <c r="H342" s="70"/>
      <c r="I342" s="70"/>
      <c r="J342" s="70"/>
    </row>
    <row r="343" spans="2:10" s="25" customFormat="1" ht="13.95" customHeight="1" x14ac:dyDescent="0.2">
      <c r="B343" s="70"/>
      <c r="C343" s="70"/>
      <c r="D343" s="70"/>
      <c r="E343" s="70"/>
      <c r="F343" s="70"/>
      <c r="G343" s="70"/>
      <c r="H343" s="70"/>
      <c r="I343" s="70"/>
      <c r="J343" s="70"/>
    </row>
    <row r="344" spans="2:10" s="25" customFormat="1" ht="13.95" customHeight="1" x14ac:dyDescent="0.2">
      <c r="B344" s="70"/>
      <c r="C344" s="70"/>
      <c r="D344" s="70"/>
      <c r="E344" s="70"/>
      <c r="F344" s="70"/>
      <c r="G344" s="70"/>
      <c r="H344" s="70"/>
      <c r="I344" s="70"/>
      <c r="J344" s="70"/>
    </row>
    <row r="345" spans="2:10" s="25" customFormat="1" ht="13.95" customHeight="1" x14ac:dyDescent="0.2">
      <c r="B345" s="70"/>
      <c r="C345" s="70"/>
      <c r="D345" s="70"/>
      <c r="E345" s="70"/>
      <c r="F345" s="70"/>
      <c r="G345" s="70"/>
      <c r="H345" s="70"/>
      <c r="I345" s="70"/>
      <c r="J345" s="70"/>
    </row>
    <row r="346" spans="2:10" s="25" customFormat="1" ht="13.95" customHeight="1" x14ac:dyDescent="0.2">
      <c r="B346" s="70"/>
      <c r="C346" s="70"/>
      <c r="D346" s="70"/>
      <c r="E346" s="70"/>
      <c r="F346" s="70"/>
      <c r="G346" s="70"/>
      <c r="H346" s="70"/>
      <c r="I346" s="70"/>
      <c r="J346" s="70"/>
    </row>
    <row r="347" spans="2:10" s="25" customFormat="1" ht="13.95" customHeight="1" x14ac:dyDescent="0.2">
      <c r="B347" s="70"/>
      <c r="C347" s="70"/>
      <c r="D347" s="70"/>
      <c r="E347" s="70"/>
      <c r="F347" s="70"/>
      <c r="G347" s="70"/>
      <c r="H347" s="70"/>
      <c r="I347" s="70"/>
      <c r="J347" s="70"/>
    </row>
    <row r="348" spans="2:10" s="25" customFormat="1" ht="13.95" customHeight="1" x14ac:dyDescent="0.2">
      <c r="B348" s="70"/>
      <c r="C348" s="70"/>
      <c r="D348" s="70"/>
      <c r="E348" s="70"/>
      <c r="F348" s="70"/>
      <c r="G348" s="70"/>
      <c r="H348" s="70"/>
      <c r="I348" s="70"/>
      <c r="J348" s="70"/>
    </row>
    <row r="349" spans="2:10" s="25" customFormat="1" ht="13.95" customHeight="1" x14ac:dyDescent="0.2">
      <c r="B349" s="70"/>
      <c r="C349" s="70"/>
      <c r="D349" s="70"/>
      <c r="E349" s="70"/>
      <c r="F349" s="70"/>
      <c r="G349" s="70"/>
      <c r="H349" s="70"/>
      <c r="I349" s="70"/>
      <c r="J349" s="70"/>
    </row>
    <row r="350" spans="2:10" s="25" customFormat="1" ht="13.95" customHeight="1" x14ac:dyDescent="0.2">
      <c r="B350" s="70"/>
      <c r="C350" s="70"/>
      <c r="D350" s="70"/>
      <c r="E350" s="70"/>
      <c r="F350" s="70"/>
      <c r="G350" s="70"/>
      <c r="H350" s="70"/>
      <c r="I350" s="70"/>
      <c r="J350" s="70"/>
    </row>
    <row r="351" spans="2:10" s="25" customFormat="1" ht="13.95" customHeight="1" x14ac:dyDescent="0.2">
      <c r="B351" s="70"/>
      <c r="C351" s="70"/>
      <c r="D351" s="70"/>
      <c r="E351" s="70"/>
      <c r="F351" s="70"/>
      <c r="G351" s="70"/>
      <c r="H351" s="70"/>
      <c r="I351" s="70"/>
      <c r="J351" s="70"/>
    </row>
    <row r="352" spans="2:10" s="25" customFormat="1" ht="13.95" customHeight="1" x14ac:dyDescent="0.2">
      <c r="B352" s="70"/>
      <c r="C352" s="70"/>
      <c r="D352" s="70"/>
      <c r="E352" s="70"/>
      <c r="F352" s="70"/>
      <c r="G352" s="70"/>
      <c r="H352" s="70"/>
      <c r="I352" s="70"/>
      <c r="J352" s="70"/>
    </row>
    <row r="353" spans="2:10" s="25" customFormat="1" ht="13.95" customHeight="1" x14ac:dyDescent="0.2">
      <c r="B353" s="70"/>
      <c r="C353" s="70"/>
      <c r="D353" s="70"/>
      <c r="E353" s="70"/>
      <c r="F353" s="70"/>
      <c r="G353" s="70"/>
      <c r="H353" s="70"/>
      <c r="I353" s="70"/>
      <c r="J353" s="70"/>
    </row>
    <row r="354" spans="2:10" s="25" customFormat="1" ht="13.95" customHeight="1" x14ac:dyDescent="0.2">
      <c r="B354" s="70"/>
      <c r="C354" s="70"/>
      <c r="D354" s="70"/>
      <c r="E354" s="70"/>
      <c r="F354" s="70"/>
      <c r="G354" s="70"/>
      <c r="H354" s="70"/>
      <c r="I354" s="70"/>
      <c r="J354" s="70"/>
    </row>
    <row r="355" spans="2:10" s="25" customFormat="1" ht="13.95" customHeight="1" x14ac:dyDescent="0.2">
      <c r="B355" s="70"/>
      <c r="C355" s="70"/>
      <c r="D355" s="70"/>
      <c r="E355" s="70"/>
      <c r="F355" s="70"/>
      <c r="G355" s="70"/>
      <c r="H355" s="70"/>
      <c r="I355" s="70"/>
      <c r="J355" s="70"/>
    </row>
    <row r="356" spans="2:10" s="25" customFormat="1" ht="13.95" customHeight="1" x14ac:dyDescent="0.2">
      <c r="B356" s="70"/>
      <c r="C356" s="70"/>
      <c r="D356" s="70"/>
      <c r="E356" s="70"/>
      <c r="F356" s="70"/>
      <c r="G356" s="70"/>
      <c r="H356" s="70"/>
      <c r="I356" s="70"/>
      <c r="J356" s="70"/>
    </row>
    <row r="357" spans="2:10" s="25" customFormat="1" ht="13.95" customHeight="1" x14ac:dyDescent="0.2">
      <c r="B357" s="70"/>
      <c r="C357" s="70"/>
      <c r="D357" s="70"/>
      <c r="E357" s="70"/>
      <c r="F357" s="70"/>
      <c r="G357" s="70"/>
      <c r="H357" s="70"/>
      <c r="I357" s="70"/>
      <c r="J357" s="70"/>
    </row>
    <row r="358" spans="2:10" s="25" customFormat="1" ht="13.95" customHeight="1" x14ac:dyDescent="0.2">
      <c r="B358" s="70"/>
      <c r="C358" s="70"/>
      <c r="D358" s="70"/>
      <c r="E358" s="70"/>
      <c r="F358" s="70"/>
      <c r="G358" s="70"/>
      <c r="H358" s="70"/>
      <c r="I358" s="70"/>
      <c r="J358" s="70"/>
    </row>
    <row r="359" spans="2:10" s="25" customFormat="1" ht="13.95" customHeight="1" x14ac:dyDescent="0.2">
      <c r="B359" s="70"/>
      <c r="C359" s="70"/>
      <c r="D359" s="70"/>
      <c r="E359" s="70"/>
      <c r="F359" s="70"/>
      <c r="G359" s="70"/>
      <c r="H359" s="70"/>
      <c r="I359" s="70"/>
      <c r="J359" s="70"/>
    </row>
    <row r="360" spans="2:10" s="25" customFormat="1" ht="13.95" customHeight="1" x14ac:dyDescent="0.2">
      <c r="B360" s="70"/>
      <c r="C360" s="70"/>
      <c r="D360" s="70"/>
      <c r="E360" s="70"/>
      <c r="F360" s="70"/>
      <c r="G360" s="70"/>
      <c r="H360" s="70"/>
      <c r="I360" s="70"/>
      <c r="J360" s="70"/>
    </row>
    <row r="361" spans="2:10" s="25" customFormat="1" ht="13.95" customHeight="1" x14ac:dyDescent="0.2">
      <c r="B361" s="70"/>
      <c r="C361" s="70"/>
      <c r="D361" s="70"/>
      <c r="E361" s="70"/>
      <c r="F361" s="70"/>
      <c r="G361" s="70"/>
      <c r="H361" s="70"/>
      <c r="I361" s="70"/>
      <c r="J361" s="70"/>
    </row>
    <row r="362" spans="2:10" s="25" customFormat="1" ht="13.95" customHeight="1" x14ac:dyDescent="0.2">
      <c r="B362" s="70"/>
      <c r="C362" s="70"/>
      <c r="D362" s="70"/>
      <c r="E362" s="70"/>
      <c r="F362" s="70"/>
      <c r="G362" s="70"/>
      <c r="H362" s="70"/>
      <c r="I362" s="70"/>
      <c r="J362" s="70"/>
    </row>
    <row r="363" spans="2:10" s="25" customFormat="1" ht="13.95" customHeight="1" x14ac:dyDescent="0.2">
      <c r="B363" s="70"/>
      <c r="C363" s="70"/>
      <c r="D363" s="70"/>
      <c r="E363" s="70"/>
      <c r="F363" s="70"/>
      <c r="G363" s="70"/>
      <c r="H363" s="70"/>
      <c r="I363" s="70"/>
      <c r="J363" s="70"/>
    </row>
    <row r="364" spans="2:10" s="25" customFormat="1" ht="13.95" customHeight="1" x14ac:dyDescent="0.2">
      <c r="B364" s="70"/>
      <c r="C364" s="70"/>
      <c r="D364" s="70"/>
      <c r="E364" s="70"/>
      <c r="F364" s="70"/>
      <c r="G364" s="70"/>
      <c r="H364" s="70"/>
      <c r="I364" s="70"/>
      <c r="J364" s="70"/>
    </row>
    <row r="365" spans="2:10" s="25" customFormat="1" ht="13.95" customHeight="1" x14ac:dyDescent="0.2">
      <c r="B365" s="70"/>
      <c r="C365" s="70"/>
      <c r="D365" s="70"/>
      <c r="E365" s="70"/>
      <c r="F365" s="70"/>
      <c r="G365" s="70"/>
      <c r="H365" s="70"/>
      <c r="I365" s="70"/>
      <c r="J365" s="70"/>
    </row>
    <row r="366" spans="2:10" s="25" customFormat="1" ht="13.95" customHeight="1" x14ac:dyDescent="0.2">
      <c r="B366" s="70"/>
      <c r="C366" s="70"/>
      <c r="D366" s="70"/>
      <c r="E366" s="70"/>
      <c r="F366" s="70"/>
      <c r="G366" s="70"/>
      <c r="H366" s="70"/>
      <c r="I366" s="70"/>
      <c r="J366" s="70"/>
    </row>
    <row r="367" spans="2:10" s="25" customFormat="1" ht="13.95" customHeight="1" x14ac:dyDescent="0.2">
      <c r="B367" s="70"/>
      <c r="C367" s="70"/>
      <c r="D367" s="70"/>
      <c r="E367" s="70"/>
      <c r="F367" s="70"/>
      <c r="G367" s="70"/>
      <c r="H367" s="70"/>
      <c r="I367" s="70"/>
      <c r="J367" s="70"/>
    </row>
    <row r="368" spans="2:10" s="25" customFormat="1" ht="13.95" customHeight="1" x14ac:dyDescent="0.2">
      <c r="B368" s="70"/>
      <c r="C368" s="70"/>
      <c r="D368" s="70"/>
      <c r="E368" s="70"/>
      <c r="F368" s="70"/>
      <c r="G368" s="70"/>
      <c r="H368" s="70"/>
      <c r="I368" s="70"/>
      <c r="J368" s="70"/>
    </row>
    <row r="369" spans="2:10" s="25" customFormat="1" ht="13.95" customHeight="1" x14ac:dyDescent="0.2">
      <c r="B369" s="70"/>
      <c r="C369" s="70"/>
      <c r="D369" s="70"/>
      <c r="E369" s="70"/>
      <c r="F369" s="70"/>
      <c r="G369" s="70"/>
      <c r="H369" s="70"/>
      <c r="I369" s="70"/>
      <c r="J369" s="70"/>
    </row>
    <row r="370" spans="2:10" s="25" customFormat="1" ht="13.95" customHeight="1" x14ac:dyDescent="0.2">
      <c r="B370" s="70"/>
      <c r="C370" s="70"/>
      <c r="D370" s="70"/>
      <c r="E370" s="70"/>
      <c r="F370" s="70"/>
      <c r="G370" s="70"/>
      <c r="H370" s="70"/>
      <c r="I370" s="70"/>
      <c r="J370" s="70"/>
    </row>
    <row r="371" spans="2:10" s="25" customFormat="1" ht="13.95" customHeight="1" x14ac:dyDescent="0.2">
      <c r="B371" s="70"/>
      <c r="C371" s="70"/>
      <c r="D371" s="70"/>
      <c r="E371" s="70"/>
      <c r="F371" s="70"/>
      <c r="G371" s="70"/>
      <c r="H371" s="70"/>
      <c r="I371" s="70"/>
      <c r="J371" s="70"/>
    </row>
    <row r="372" spans="2:10" s="25" customFormat="1" ht="13.95" customHeight="1" x14ac:dyDescent="0.2">
      <c r="B372" s="70"/>
      <c r="C372" s="70"/>
      <c r="D372" s="70"/>
      <c r="E372" s="70"/>
      <c r="F372" s="70"/>
      <c r="G372" s="70"/>
      <c r="H372" s="70"/>
      <c r="I372" s="70"/>
      <c r="J372" s="70"/>
    </row>
    <row r="373" spans="2:10" s="25" customFormat="1" ht="13.95" customHeight="1" x14ac:dyDescent="0.2">
      <c r="B373" s="70"/>
      <c r="C373" s="70"/>
      <c r="D373" s="70"/>
      <c r="E373" s="70"/>
      <c r="F373" s="70"/>
      <c r="G373" s="70"/>
      <c r="H373" s="70"/>
      <c r="I373" s="70"/>
      <c r="J373" s="70"/>
    </row>
    <row r="374" spans="2:10" s="25" customFormat="1" ht="13.95" customHeight="1" x14ac:dyDescent="0.2">
      <c r="B374" s="70"/>
      <c r="C374" s="70"/>
      <c r="D374" s="70"/>
      <c r="E374" s="70"/>
      <c r="F374" s="70"/>
      <c r="G374" s="70"/>
      <c r="H374" s="70"/>
      <c r="I374" s="70"/>
      <c r="J374" s="70"/>
    </row>
    <row r="375" spans="2:10" s="25" customFormat="1" ht="13.95" customHeight="1" x14ac:dyDescent="0.2">
      <c r="B375" s="70"/>
      <c r="C375" s="70"/>
      <c r="D375" s="70"/>
      <c r="E375" s="70"/>
      <c r="F375" s="70"/>
      <c r="G375" s="70"/>
      <c r="H375" s="70"/>
      <c r="I375" s="70"/>
      <c r="J375" s="70"/>
    </row>
    <row r="376" spans="2:10" s="25" customFormat="1" ht="13.95" customHeight="1" x14ac:dyDescent="0.2">
      <c r="B376" s="70"/>
      <c r="C376" s="70"/>
      <c r="D376" s="70"/>
      <c r="E376" s="70"/>
      <c r="F376" s="70"/>
      <c r="G376" s="70"/>
      <c r="H376" s="70"/>
      <c r="I376" s="70"/>
      <c r="J376" s="70"/>
    </row>
    <row r="377" spans="2:10" s="25" customFormat="1" ht="13.95" customHeight="1" x14ac:dyDescent="0.2">
      <c r="B377" s="70"/>
      <c r="C377" s="70"/>
      <c r="D377" s="70"/>
      <c r="E377" s="70"/>
      <c r="F377" s="70"/>
      <c r="G377" s="70"/>
      <c r="H377" s="70"/>
      <c r="I377" s="70"/>
      <c r="J377" s="70"/>
    </row>
    <row r="378" spans="2:10" s="25" customFormat="1" ht="13.95" customHeight="1" x14ac:dyDescent="0.2">
      <c r="B378" s="70"/>
      <c r="C378" s="70"/>
      <c r="D378" s="70"/>
      <c r="E378" s="70"/>
      <c r="F378" s="70"/>
      <c r="G378" s="70"/>
      <c r="H378" s="70"/>
      <c r="I378" s="70"/>
      <c r="J378" s="70"/>
    </row>
    <row r="379" spans="2:10" s="25" customFormat="1" ht="13.95" customHeight="1" x14ac:dyDescent="0.2">
      <c r="B379" s="70"/>
      <c r="C379" s="70"/>
      <c r="D379" s="70"/>
      <c r="E379" s="70"/>
      <c r="F379" s="70"/>
      <c r="G379" s="70"/>
      <c r="H379" s="70"/>
      <c r="I379" s="70"/>
      <c r="J379" s="70"/>
    </row>
    <row r="380" spans="2:10" s="25" customFormat="1" ht="13.95" customHeight="1" x14ac:dyDescent="0.2">
      <c r="B380" s="70"/>
      <c r="C380" s="70"/>
      <c r="D380" s="70"/>
      <c r="E380" s="70"/>
      <c r="F380" s="70"/>
      <c r="G380" s="70"/>
      <c r="H380" s="70"/>
      <c r="I380" s="70"/>
      <c r="J380" s="70"/>
    </row>
    <row r="381" spans="2:10" s="25" customFormat="1" ht="13.95" customHeight="1" x14ac:dyDescent="0.2">
      <c r="B381" s="70"/>
      <c r="C381" s="70"/>
      <c r="D381" s="70"/>
      <c r="E381" s="70"/>
      <c r="F381" s="70"/>
      <c r="G381" s="70"/>
      <c r="H381" s="70"/>
      <c r="I381" s="70"/>
      <c r="J381" s="70"/>
    </row>
    <row r="382" spans="2:10" s="25" customFormat="1" ht="13.95" customHeight="1" x14ac:dyDescent="0.2">
      <c r="B382" s="70"/>
      <c r="C382" s="70"/>
      <c r="D382" s="70"/>
      <c r="E382" s="70"/>
      <c r="F382" s="70"/>
      <c r="G382" s="70"/>
      <c r="H382" s="70"/>
      <c r="I382" s="70"/>
      <c r="J382" s="70"/>
    </row>
    <row r="383" spans="2:10" s="25" customFormat="1" ht="13.95" customHeight="1" x14ac:dyDescent="0.2">
      <c r="B383" s="70"/>
      <c r="C383" s="70"/>
      <c r="D383" s="70"/>
      <c r="E383" s="70"/>
      <c r="F383" s="70"/>
      <c r="G383" s="70"/>
      <c r="H383" s="70"/>
      <c r="I383" s="70"/>
      <c r="J383" s="70"/>
    </row>
    <row r="384" spans="2:10" s="25" customFormat="1" ht="13.95" customHeight="1" x14ac:dyDescent="0.2">
      <c r="B384" s="70"/>
      <c r="C384" s="70"/>
      <c r="D384" s="70"/>
      <c r="E384" s="70"/>
      <c r="F384" s="70"/>
      <c r="G384" s="70"/>
      <c r="H384" s="70"/>
      <c r="I384" s="70"/>
      <c r="J384" s="70"/>
    </row>
    <row r="385" spans="2:10" s="25" customFormat="1" ht="13.95" customHeight="1" x14ac:dyDescent="0.2">
      <c r="B385" s="70"/>
      <c r="C385" s="70"/>
      <c r="D385" s="70"/>
      <c r="E385" s="70"/>
      <c r="F385" s="70"/>
      <c r="G385" s="70"/>
      <c r="H385" s="70"/>
      <c r="I385" s="70"/>
      <c r="J385" s="70"/>
    </row>
    <row r="386" spans="2:10" s="25" customFormat="1" ht="13.95" customHeight="1" x14ac:dyDescent="0.2">
      <c r="B386" s="70"/>
      <c r="C386" s="70"/>
      <c r="D386" s="70"/>
      <c r="E386" s="70"/>
      <c r="F386" s="70"/>
      <c r="G386" s="70"/>
      <c r="H386" s="70"/>
      <c r="I386" s="70"/>
      <c r="J386" s="70"/>
    </row>
    <row r="387" spans="2:10" s="25" customFormat="1" ht="13.95" customHeight="1" x14ac:dyDescent="0.2">
      <c r="B387" s="70"/>
      <c r="C387" s="70"/>
      <c r="D387" s="70"/>
      <c r="E387" s="70"/>
      <c r="F387" s="70"/>
      <c r="G387" s="70"/>
      <c r="H387" s="70"/>
      <c r="I387" s="70"/>
      <c r="J387" s="70"/>
    </row>
    <row r="388" spans="2:10" s="25" customFormat="1" ht="13.95" customHeight="1" x14ac:dyDescent="0.2">
      <c r="B388" s="70"/>
      <c r="C388" s="70"/>
      <c r="D388" s="70"/>
      <c r="E388" s="70"/>
      <c r="F388" s="70"/>
      <c r="G388" s="70"/>
      <c r="H388" s="70"/>
      <c r="I388" s="70"/>
      <c r="J388" s="70"/>
    </row>
    <row r="389" spans="2:10" s="25" customFormat="1" ht="13.95" customHeight="1" x14ac:dyDescent="0.2">
      <c r="B389" s="70"/>
      <c r="C389" s="70"/>
      <c r="D389" s="70"/>
      <c r="E389" s="70"/>
      <c r="F389" s="70"/>
      <c r="G389" s="70"/>
      <c r="H389" s="70"/>
      <c r="I389" s="70"/>
      <c r="J389" s="70"/>
    </row>
    <row r="390" spans="2:10" s="25" customFormat="1" ht="13.95" customHeight="1" x14ac:dyDescent="0.2">
      <c r="B390" s="70"/>
      <c r="C390" s="70"/>
      <c r="D390" s="70"/>
      <c r="E390" s="70"/>
      <c r="F390" s="70"/>
      <c r="G390" s="70"/>
      <c r="H390" s="70"/>
      <c r="I390" s="70"/>
      <c r="J390" s="70"/>
    </row>
  </sheetData>
  <customSheetViews>
    <customSheetView guid="{EDC1BD6E-863A-4FC6-A3A9-F32079F4F0C1}">
      <selection activeCell="N36" sqref="N36"/>
      <pageMargins left="0.7" right="0.7" top="0.75" bottom="0.75" header="0.3" footer="0.3"/>
    </customSheetView>
  </customSheetViews>
  <mergeCells count="12">
    <mergeCell ref="B3:J3"/>
    <mergeCell ref="B5:J5"/>
    <mergeCell ref="B7:J7"/>
    <mergeCell ref="B8:J8"/>
    <mergeCell ref="B10:J10"/>
    <mergeCell ref="B19:J19"/>
    <mergeCell ref="B21:J21"/>
    <mergeCell ref="B23:J23"/>
    <mergeCell ref="B15:J15"/>
    <mergeCell ref="B12:J12"/>
    <mergeCell ref="B13:J13"/>
    <mergeCell ref="B16:J16"/>
  </mergeCells>
  <pageMargins left="0.70866141732283472" right="0.70866141732283472" top="0.74803149606299213" bottom="0.74803149606299213" header="0.31496062992125984" footer="0.31496062992125984"/>
  <pageSetup paperSize="9" orientation="portrait" r:id="rId1"/>
  <headerFooter>
    <oddHeader>&amp;C&amp;10Hull University Teaching Hospitals NHS Trust - Annual Accounts 2018/19</oddHeader>
    <oddFooter>&amp;C&amp;10Page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M26"/>
  <sheetViews>
    <sheetView zoomScaleNormal="100" workbookViewId="0">
      <selection activeCell="B30" sqref="B30:F32"/>
    </sheetView>
  </sheetViews>
  <sheetFormatPr defaultColWidth="9.109375" defaultRowHeight="13.95" customHeight="1" x14ac:dyDescent="0.2"/>
  <cols>
    <col min="1" max="1" width="1.6640625" style="52" customWidth="1"/>
    <col min="2" max="2" width="37.6640625" style="25" customWidth="1"/>
    <col min="3" max="3" width="2" style="861" customWidth="1"/>
    <col min="4" max="4" width="10.6640625" style="861" customWidth="1"/>
    <col min="5" max="5" width="1" style="861" customWidth="1"/>
    <col min="6" max="6" width="8.33203125" style="861" customWidth="1"/>
    <col min="7" max="7" width="1.33203125" style="861" customWidth="1"/>
    <col min="8" max="8" width="8.6640625" style="25" customWidth="1"/>
    <col min="9" max="9" width="1.109375" style="44" customWidth="1"/>
    <col min="10" max="10" width="8.6640625" style="25" customWidth="1"/>
    <col min="11" max="16384" width="9.109375" style="25"/>
  </cols>
  <sheetData>
    <row r="1" spans="1:13" ht="13.95" customHeight="1" x14ac:dyDescent="0.25">
      <c r="A1" s="52">
        <f>ROUNDDOWN('Pension costs'!A1,0)+1</f>
        <v>9</v>
      </c>
      <c r="B1" s="115" t="str">
        <f>"Note "&amp;A1&amp; " Operating leases"</f>
        <v>Note 9 Operating leases</v>
      </c>
      <c r="C1" s="863"/>
      <c r="D1" s="863"/>
      <c r="E1" s="863"/>
      <c r="F1" s="863"/>
      <c r="G1" s="863"/>
    </row>
    <row r="2" spans="1:13" ht="13.95" customHeight="1" x14ac:dyDescent="0.25">
      <c r="A2" s="52">
        <f>A1+0.1</f>
        <v>9.1</v>
      </c>
      <c r="B2" s="115"/>
      <c r="C2" s="863"/>
      <c r="D2" s="863"/>
      <c r="E2" s="863"/>
      <c r="F2" s="863"/>
      <c r="G2" s="863"/>
      <c r="H2" s="3"/>
      <c r="I2" s="2"/>
      <c r="J2" s="3"/>
    </row>
    <row r="3" spans="1:13" ht="27" customHeight="1" x14ac:dyDescent="0.2">
      <c r="B3" s="930" t="str">
        <f>"This note discloses income generated in operating lease agreements where " &amp; SelectedFT &amp; " is the lessor."</f>
        <v>This note discloses income generated in operating lease agreements where Hull University Teaching Hospitals NHS Trust is the lessor.</v>
      </c>
      <c r="C3" s="930"/>
      <c r="D3" s="930"/>
      <c r="E3" s="930"/>
      <c r="F3" s="930"/>
      <c r="G3" s="930"/>
      <c r="H3" s="930"/>
      <c r="I3" s="930"/>
      <c r="J3" s="930"/>
    </row>
    <row r="4" spans="1:13" ht="24" customHeight="1" x14ac:dyDescent="0.2">
      <c r="B4" s="929" t="s">
        <v>1024</v>
      </c>
      <c r="C4" s="929"/>
      <c r="D4" s="929"/>
      <c r="E4" s="929"/>
      <c r="F4" s="929"/>
      <c r="G4" s="929"/>
      <c r="H4" s="929"/>
      <c r="I4" s="929"/>
      <c r="J4" s="929"/>
    </row>
    <row r="5" spans="1:13" s="767" customFormat="1" ht="24" customHeight="1" x14ac:dyDescent="0.2">
      <c r="A5" s="722"/>
      <c r="B5" s="770"/>
      <c r="C5" s="862"/>
      <c r="D5" s="862"/>
      <c r="E5" s="862"/>
      <c r="F5" s="862"/>
      <c r="G5" s="862"/>
      <c r="H5" s="770"/>
      <c r="I5" s="770"/>
      <c r="J5" s="770"/>
    </row>
    <row r="6" spans="1:13" ht="13.95" customHeight="1" x14ac:dyDescent="0.2">
      <c r="B6" s="22"/>
      <c r="C6" s="651"/>
      <c r="I6" s="62"/>
      <c r="J6" s="3"/>
    </row>
    <row r="7" spans="1:13" s="18" customFormat="1" ht="13.95" customHeight="1" x14ac:dyDescent="0.25">
      <c r="A7" s="52"/>
      <c r="B7" s="115"/>
      <c r="C7" s="863"/>
      <c r="D7" s="871" t="s">
        <v>1182</v>
      </c>
      <c r="E7" s="871"/>
      <c r="F7" s="871" t="s">
        <v>314</v>
      </c>
      <c r="G7" s="871"/>
      <c r="H7" s="498" t="s">
        <v>282</v>
      </c>
      <c r="I7" s="113"/>
      <c r="J7" s="624" t="str">
        <f>ComparativeFY</f>
        <v>2017/18</v>
      </c>
      <c r="K7" s="25"/>
      <c r="L7" s="25"/>
      <c r="M7" s="25"/>
    </row>
    <row r="8" spans="1:13" s="18" customFormat="1" ht="13.95" customHeight="1" x14ac:dyDescent="0.25">
      <c r="A8" s="52"/>
      <c r="B8" s="115"/>
      <c r="C8" s="863"/>
      <c r="D8" s="871" t="s">
        <v>283</v>
      </c>
      <c r="E8" s="871"/>
      <c r="F8" s="871" t="s">
        <v>283</v>
      </c>
      <c r="G8" s="871"/>
      <c r="H8" s="113" t="s">
        <v>283</v>
      </c>
      <c r="I8" s="113"/>
      <c r="J8" s="624" t="s">
        <v>283</v>
      </c>
      <c r="K8" s="25"/>
      <c r="L8" s="25"/>
      <c r="M8" s="25"/>
    </row>
    <row r="9" spans="1:13" ht="13.95" customHeight="1" x14ac:dyDescent="0.25">
      <c r="B9" s="115" t="s">
        <v>479</v>
      </c>
      <c r="C9" s="863"/>
      <c r="D9" s="863"/>
      <c r="E9" s="863"/>
      <c r="F9" s="863"/>
      <c r="G9" s="863"/>
      <c r="H9" s="115"/>
      <c r="I9" s="115"/>
      <c r="J9" s="623"/>
    </row>
    <row r="10" spans="1:13" s="18" customFormat="1" ht="13.95" customHeight="1" x14ac:dyDescent="0.25">
      <c r="A10" s="52"/>
      <c r="B10" s="197" t="s">
        <v>350</v>
      </c>
      <c r="C10" s="865"/>
      <c r="D10" s="876">
        <v>81</v>
      </c>
      <c r="E10" s="875"/>
      <c r="F10" s="876">
        <v>2212</v>
      </c>
      <c r="G10" s="872"/>
      <c r="H10" s="873">
        <f>SUM(D10:F10)</f>
        <v>2293</v>
      </c>
      <c r="I10" s="62"/>
      <c r="J10" s="620">
        <v>2381</v>
      </c>
      <c r="K10" s="25"/>
      <c r="L10" s="25"/>
      <c r="M10" s="25"/>
    </row>
    <row r="11" spans="1:13" s="18" customFormat="1" ht="13.95" hidden="1" customHeight="1" x14ac:dyDescent="0.2">
      <c r="A11" s="52"/>
      <c r="B11" s="197" t="s">
        <v>351</v>
      </c>
      <c r="C11" s="865"/>
      <c r="D11" s="865"/>
      <c r="E11" s="865"/>
      <c r="F11" s="865"/>
      <c r="G11" s="865"/>
      <c r="H11" s="62">
        <v>0</v>
      </c>
      <c r="I11" s="62"/>
      <c r="J11" s="620">
        <v>0</v>
      </c>
      <c r="K11" s="25"/>
      <c r="L11" s="25"/>
      <c r="M11" s="25"/>
    </row>
    <row r="12" spans="1:13" s="18" customFormat="1" ht="13.95" hidden="1" customHeight="1" x14ac:dyDescent="0.2">
      <c r="A12" s="52"/>
      <c r="B12" s="197" t="s">
        <v>352</v>
      </c>
      <c r="C12" s="865"/>
      <c r="D12" s="865"/>
      <c r="E12" s="865"/>
      <c r="F12" s="865"/>
      <c r="G12" s="865"/>
      <c r="H12" s="62">
        <v>0</v>
      </c>
      <c r="I12" s="62"/>
      <c r="J12" s="620">
        <v>0</v>
      </c>
      <c r="K12" s="25"/>
      <c r="L12" s="25"/>
      <c r="M12" s="25"/>
    </row>
    <row r="13" spans="1:13" s="18" customFormat="1" ht="13.95" customHeight="1" x14ac:dyDescent="0.25">
      <c r="A13" s="52"/>
      <c r="B13" s="123"/>
      <c r="C13" s="864"/>
      <c r="D13" s="864"/>
      <c r="E13" s="864"/>
      <c r="F13" s="864"/>
      <c r="G13" s="864"/>
      <c r="H13" s="684"/>
      <c r="I13" s="685"/>
      <c r="J13" s="758"/>
      <c r="K13" s="25"/>
      <c r="L13" s="25"/>
      <c r="M13" s="25"/>
    </row>
    <row r="14" spans="1:13" s="18" customFormat="1" ht="12" x14ac:dyDescent="0.25">
      <c r="A14" s="52"/>
      <c r="B14" s="115"/>
      <c r="C14" s="863"/>
      <c r="D14" s="863"/>
      <c r="E14" s="863"/>
      <c r="F14" s="863"/>
      <c r="G14" s="863"/>
      <c r="H14" s="105"/>
      <c r="I14" s="62"/>
      <c r="J14" s="624"/>
      <c r="K14" s="25"/>
      <c r="L14" s="25"/>
      <c r="M14" s="25"/>
    </row>
    <row r="15" spans="1:13" s="18" customFormat="1" ht="13.95" customHeight="1" x14ac:dyDescent="0.25">
      <c r="A15" s="52"/>
      <c r="B15" s="115"/>
      <c r="C15" s="863"/>
      <c r="D15" s="863"/>
      <c r="E15" s="863"/>
      <c r="F15" s="863"/>
      <c r="G15" s="863"/>
      <c r="H15" s="113"/>
      <c r="I15" s="62"/>
      <c r="J15" s="624"/>
      <c r="K15" s="25"/>
      <c r="L15" s="25"/>
      <c r="M15" s="25"/>
    </row>
    <row r="16" spans="1:13" s="18" customFormat="1" ht="13.95" customHeight="1" x14ac:dyDescent="0.25">
      <c r="A16" s="52"/>
      <c r="B16" s="115" t="s">
        <v>353</v>
      </c>
      <c r="C16" s="863"/>
      <c r="D16" s="863"/>
      <c r="E16" s="863"/>
      <c r="F16" s="863"/>
      <c r="G16" s="863"/>
      <c r="H16" s="115"/>
      <c r="I16" s="62"/>
      <c r="J16" s="623"/>
      <c r="K16" s="25"/>
      <c r="L16" s="25"/>
      <c r="M16" s="25"/>
    </row>
    <row r="17" spans="1:13" s="18" customFormat="1" ht="13.95" customHeight="1" x14ac:dyDescent="0.2">
      <c r="A17" s="52"/>
      <c r="B17" s="197" t="s">
        <v>316</v>
      </c>
      <c r="C17" s="865"/>
      <c r="D17" s="883">
        <v>81</v>
      </c>
      <c r="E17" s="883"/>
      <c r="F17" s="883">
        <v>1729</v>
      </c>
      <c r="G17" s="883"/>
      <c r="H17" s="884">
        <v>1810</v>
      </c>
      <c r="I17" s="884"/>
      <c r="J17" s="885">
        <v>2054</v>
      </c>
      <c r="K17" s="25"/>
      <c r="L17" s="25"/>
      <c r="M17" s="25"/>
    </row>
    <row r="18" spans="1:13" s="18" customFormat="1" ht="13.95" customHeight="1" x14ac:dyDescent="0.2">
      <c r="A18" s="52"/>
      <c r="B18" s="197" t="s">
        <v>317</v>
      </c>
      <c r="C18" s="865"/>
      <c r="D18" s="883">
        <v>324</v>
      </c>
      <c r="E18" s="883"/>
      <c r="F18" s="883">
        <v>2947</v>
      </c>
      <c r="G18" s="883"/>
      <c r="H18" s="884">
        <v>3271</v>
      </c>
      <c r="I18" s="884"/>
      <c r="J18" s="885">
        <v>4050</v>
      </c>
      <c r="K18" s="25"/>
      <c r="L18" s="25"/>
      <c r="M18" s="25"/>
    </row>
    <row r="19" spans="1:13" s="18" customFormat="1" ht="13.95" customHeight="1" x14ac:dyDescent="0.2">
      <c r="A19" s="52"/>
      <c r="B19" s="197" t="s">
        <v>318</v>
      </c>
      <c r="C19" s="865"/>
      <c r="D19" s="883">
        <v>1620</v>
      </c>
      <c r="E19" s="886"/>
      <c r="F19" s="883">
        <v>232</v>
      </c>
      <c r="G19" s="886"/>
      <c r="H19" s="884">
        <v>1852</v>
      </c>
      <c r="I19" s="884"/>
      <c r="J19" s="885">
        <v>2166</v>
      </c>
      <c r="K19" s="25"/>
      <c r="L19" s="25"/>
      <c r="M19" s="25"/>
    </row>
    <row r="20" spans="1:13" s="18" customFormat="1" ht="13.95" customHeight="1" thickBot="1" x14ac:dyDescent="0.3">
      <c r="A20" s="52"/>
      <c r="B20" s="123" t="s">
        <v>282</v>
      </c>
      <c r="C20" s="864"/>
      <c r="D20" s="887">
        <f>SUM(D17:D19)</f>
        <v>2025</v>
      </c>
      <c r="E20" s="888"/>
      <c r="F20" s="887">
        <f>SUM(F17:F19)</f>
        <v>4908</v>
      </c>
      <c r="G20" s="888"/>
      <c r="H20" s="889">
        <f>SUM(H17:H19)</f>
        <v>6933</v>
      </c>
      <c r="I20" s="884"/>
      <c r="J20" s="890">
        <f>SUM(J17:J19)</f>
        <v>8270</v>
      </c>
      <c r="K20" s="25"/>
      <c r="L20" s="25"/>
      <c r="M20" s="25"/>
    </row>
    <row r="21" spans="1:13" s="18" customFormat="1" ht="13.95" customHeight="1" thickTop="1" x14ac:dyDescent="0.2">
      <c r="A21" s="52"/>
      <c r="B21" s="197"/>
      <c r="C21" s="865"/>
      <c r="D21" s="865"/>
      <c r="E21" s="749"/>
      <c r="F21" s="865"/>
      <c r="G21" s="749"/>
      <c r="H21" s="62"/>
      <c r="I21" s="62"/>
      <c r="J21" s="620"/>
      <c r="K21" s="25"/>
      <c r="L21" s="25"/>
      <c r="M21" s="25"/>
    </row>
    <row r="24" spans="1:13" ht="13.95" customHeight="1" x14ac:dyDescent="0.25">
      <c r="A24" s="52">
        <f>A1+1</f>
        <v>10</v>
      </c>
      <c r="B24" s="777" t="str">
        <f>"Note "&amp;A24 &amp; " Finance income"</f>
        <v>Note 10 Finance income</v>
      </c>
      <c r="C24" s="863"/>
      <c r="D24" s="863"/>
      <c r="E24" s="863"/>
      <c r="F24" s="863"/>
      <c r="G24" s="863"/>
    </row>
    <row r="26" spans="1:13" ht="28.2" customHeight="1" x14ac:dyDescent="0.2">
      <c r="B26" s="930" t="s">
        <v>1134</v>
      </c>
      <c r="C26" s="930"/>
      <c r="D26" s="930"/>
      <c r="E26" s="930"/>
      <c r="F26" s="930"/>
      <c r="G26" s="930"/>
      <c r="H26" s="930"/>
      <c r="I26" s="930"/>
      <c r="J26" s="930"/>
    </row>
  </sheetData>
  <customSheetViews>
    <customSheetView guid="{EDC1BD6E-863A-4FC6-A3A9-F32079F4F0C1}">
      <selection activeCell="N34" sqref="N34"/>
      <pageMargins left="0.7" right="0.7" top="0.75" bottom="0.75" header="0.3" footer="0.3"/>
      <pageSetup paperSize="9" orientation="portrait" verticalDpi="0" r:id="rId1"/>
    </customSheetView>
  </customSheetViews>
  <mergeCells count="3">
    <mergeCell ref="B4:J4"/>
    <mergeCell ref="B3:J3"/>
    <mergeCell ref="B26:J26"/>
  </mergeCells>
  <pageMargins left="0.70866141732283472" right="0.70866141732283472" top="0.74803149606299213" bottom="0.74803149606299213" header="0.31496062992125984" footer="0.31496062992125984"/>
  <pageSetup paperSize="9" orientation="portrait" r:id="rId2"/>
  <headerFooter>
    <oddHeader>&amp;C&amp;10Hull University Teaching Hospitals NHS Trust - Annual Accounts 2018/19</oddHeader>
    <oddFooter>&amp;C&amp;10Page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H46"/>
  <sheetViews>
    <sheetView zoomScaleNormal="100" workbookViewId="0">
      <selection activeCell="B30" sqref="B30:F32"/>
    </sheetView>
  </sheetViews>
  <sheetFormatPr defaultColWidth="9.109375" defaultRowHeight="14.1" customHeight="1" x14ac:dyDescent="0.2"/>
  <cols>
    <col min="1" max="1" width="0.6640625" style="52" customWidth="1"/>
    <col min="2" max="2" width="63.33203125" style="18" customWidth="1"/>
    <col min="3" max="3" width="8.6640625" style="18" customWidth="1"/>
    <col min="4" max="4" width="2.6640625" style="62" customWidth="1"/>
    <col min="5" max="5" width="8.6640625" style="18" customWidth="1"/>
    <col min="6" max="16384" width="9.109375" style="18"/>
  </cols>
  <sheetData>
    <row r="1" spans="1:7" ht="14.1" customHeight="1" x14ac:dyDescent="0.25">
      <c r="A1" s="52">
        <f>'Op lease &amp; Fin Inc'!A24+1</f>
        <v>11</v>
      </c>
      <c r="B1" s="115" t="str">
        <f>"Note "&amp; A1 &amp; " Finance expenditure"</f>
        <v>Note 11 Finance expenditure</v>
      </c>
    </row>
    <row r="2" spans="1:7" s="767" customFormat="1" ht="14.1" customHeight="1" x14ac:dyDescent="0.25">
      <c r="A2" s="722"/>
      <c r="B2" s="777"/>
      <c r="D2" s="670"/>
    </row>
    <row r="3" spans="1:7" s="159" customFormat="1" ht="14.1" customHeight="1" x14ac:dyDescent="0.2">
      <c r="A3" s="52"/>
      <c r="B3" s="469"/>
      <c r="D3" s="62"/>
    </row>
    <row r="4" spans="1:7" ht="13.95" customHeight="1" x14ac:dyDescent="0.25">
      <c r="C4" s="113" t="str">
        <f>CurrentFY</f>
        <v>2018/19</v>
      </c>
      <c r="E4" s="624" t="str">
        <f>ComparativeFY</f>
        <v>2017/18</v>
      </c>
    </row>
    <row r="5" spans="1:7" ht="14.1" customHeight="1" x14ac:dyDescent="0.25">
      <c r="C5" s="113" t="s">
        <v>283</v>
      </c>
      <c r="E5" s="624" t="s">
        <v>283</v>
      </c>
    </row>
    <row r="6" spans="1:7" ht="14.1" customHeight="1" x14ac:dyDescent="0.25">
      <c r="B6" s="115" t="s">
        <v>354</v>
      </c>
      <c r="C6" s="30"/>
      <c r="E6" s="600"/>
      <c r="F6" s="23"/>
    </row>
    <row r="7" spans="1:7" ht="14.1" customHeight="1" x14ac:dyDescent="0.2">
      <c r="B7" s="137" t="s">
        <v>855</v>
      </c>
      <c r="C7" s="62">
        <v>1120</v>
      </c>
      <c r="E7" s="620">
        <v>968</v>
      </c>
      <c r="F7" s="46"/>
      <c r="G7" s="26"/>
    </row>
    <row r="8" spans="1:7" ht="14.1" hidden="1" customHeight="1" x14ac:dyDescent="0.2">
      <c r="B8" s="137" t="s">
        <v>414</v>
      </c>
      <c r="C8" s="62">
        <v>0</v>
      </c>
      <c r="E8" s="620">
        <v>0</v>
      </c>
      <c r="F8" s="46"/>
      <c r="G8" s="26"/>
    </row>
    <row r="9" spans="1:7" ht="14.1" hidden="1" customHeight="1" x14ac:dyDescent="0.2">
      <c r="B9" s="137" t="s">
        <v>355</v>
      </c>
      <c r="C9" s="258">
        <v>0</v>
      </c>
      <c r="D9" s="258"/>
      <c r="E9" s="620">
        <v>0</v>
      </c>
      <c r="F9" s="46"/>
      <c r="G9" s="26"/>
    </row>
    <row r="10" spans="1:7" ht="14.1" customHeight="1" x14ac:dyDescent="0.2">
      <c r="B10" s="137" t="s">
        <v>356</v>
      </c>
      <c r="C10" s="258">
        <v>4</v>
      </c>
      <c r="D10" s="258"/>
      <c r="E10" s="620">
        <v>4</v>
      </c>
      <c r="F10" s="46"/>
      <c r="G10" s="26"/>
    </row>
    <row r="11" spans="1:7" ht="14.1" customHeight="1" x14ac:dyDescent="0.2">
      <c r="B11" s="137" t="s">
        <v>357</v>
      </c>
      <c r="C11" s="258">
        <v>0</v>
      </c>
      <c r="D11" s="258"/>
      <c r="E11" s="620">
        <v>2</v>
      </c>
      <c r="F11" s="46"/>
      <c r="G11" s="26"/>
    </row>
    <row r="12" spans="1:7" ht="14.1" customHeight="1" x14ac:dyDescent="0.2">
      <c r="B12" s="137" t="s">
        <v>1191</v>
      </c>
      <c r="C12" s="62">
        <v>3635</v>
      </c>
      <c r="E12" s="620">
        <v>3758</v>
      </c>
      <c r="F12" s="46"/>
      <c r="G12" s="26"/>
    </row>
    <row r="13" spans="1:7" ht="14.1" customHeight="1" x14ac:dyDescent="0.2">
      <c r="B13" s="137" t="s">
        <v>1192</v>
      </c>
      <c r="C13" s="869">
        <v>2114</v>
      </c>
      <c r="E13" s="870">
        <v>1738</v>
      </c>
      <c r="F13" s="46"/>
      <c r="G13" s="26"/>
    </row>
    <row r="14" spans="1:7" ht="14.1" customHeight="1" x14ac:dyDescent="0.25">
      <c r="B14" s="123" t="s">
        <v>358</v>
      </c>
      <c r="C14" s="684">
        <f>SUM(C7:C13)</f>
        <v>6873</v>
      </c>
      <c r="E14" s="758">
        <f>SUM(E7:E13)</f>
        <v>6470</v>
      </c>
      <c r="F14" s="26"/>
      <c r="G14" s="26"/>
    </row>
    <row r="15" spans="1:7" s="729" customFormat="1" ht="14.1" customHeight="1" x14ac:dyDescent="0.25">
      <c r="A15" s="722"/>
      <c r="B15" s="740"/>
      <c r="C15" s="684"/>
      <c r="D15" s="685"/>
      <c r="E15" s="758"/>
      <c r="F15" s="676"/>
      <c r="G15" s="676"/>
    </row>
    <row r="16" spans="1:7" ht="37.200000000000003" customHeight="1" x14ac:dyDescent="0.2">
      <c r="B16" s="197" t="s">
        <v>603</v>
      </c>
      <c r="C16" s="62">
        <v>15</v>
      </c>
      <c r="E16" s="620">
        <v>18</v>
      </c>
    </row>
    <row r="17" spans="1:5" s="183" customFormat="1" ht="14.1" hidden="1" customHeight="1" x14ac:dyDescent="0.2">
      <c r="A17" s="52"/>
      <c r="B17" s="197" t="s">
        <v>359</v>
      </c>
      <c r="C17" s="62">
        <v>0</v>
      </c>
      <c r="D17" s="62"/>
      <c r="E17" s="620">
        <v>0</v>
      </c>
    </row>
    <row r="18" spans="1:5" ht="14.1" customHeight="1" thickBot="1" x14ac:dyDescent="0.3">
      <c r="B18" s="123" t="s">
        <v>872</v>
      </c>
      <c r="C18" s="63">
        <f>SUM(C14:C17)</f>
        <v>6888</v>
      </c>
      <c r="E18" s="622">
        <f>SUM(E14:E17)</f>
        <v>6488</v>
      </c>
    </row>
    <row r="19" spans="1:5" s="729" customFormat="1" ht="14.1" customHeight="1" thickTop="1" x14ac:dyDescent="0.25">
      <c r="A19" s="722"/>
      <c r="B19" s="740"/>
      <c r="C19" s="515"/>
      <c r="D19" s="670"/>
      <c r="E19" s="638"/>
    </row>
    <row r="20" spans="1:5" s="767" customFormat="1" ht="14.1" customHeight="1" x14ac:dyDescent="0.25">
      <c r="A20" s="722"/>
      <c r="B20" s="781"/>
      <c r="C20" s="684"/>
      <c r="D20" s="670"/>
      <c r="E20" s="758"/>
    </row>
    <row r="21" spans="1:5" s="767" customFormat="1" ht="14.1" customHeight="1" x14ac:dyDescent="0.25">
      <c r="A21" s="722"/>
      <c r="B21" s="781"/>
      <c r="C21" s="684"/>
      <c r="D21" s="670"/>
      <c r="E21" s="758"/>
    </row>
    <row r="22" spans="1:5" ht="14.1" customHeight="1" x14ac:dyDescent="0.2">
      <c r="C22" s="55"/>
      <c r="D22" s="685"/>
      <c r="E22" s="55"/>
    </row>
    <row r="23" spans="1:5" ht="27" customHeight="1" x14ac:dyDescent="0.25">
      <c r="A23" s="52">
        <f>A1+0.1</f>
        <v>11.1</v>
      </c>
      <c r="B23" s="115" t="str">
        <f>"Note "&amp; A23 &amp; " The late payment of commercial debts (interest) Act 1998 / Public Contract Regulations 2015"</f>
        <v>Note 11.1 The late payment of commercial debts (interest) Act 1998 / Public Contract Regulations 2015</v>
      </c>
    </row>
    <row r="24" spans="1:5" s="465" customFormat="1" ht="11.4" customHeight="1" x14ac:dyDescent="0.25">
      <c r="A24" s="467"/>
      <c r="B24" s="466"/>
      <c r="D24" s="468"/>
    </row>
    <row r="25" spans="1:5" s="465" customFormat="1" ht="15.6" customHeight="1" x14ac:dyDescent="0.2">
      <c r="A25" s="467"/>
      <c r="B25" s="932" t="s">
        <v>1129</v>
      </c>
      <c r="C25" s="933"/>
      <c r="D25" s="933"/>
      <c r="E25" s="933"/>
    </row>
    <row r="26" spans="1:5" s="465" customFormat="1" ht="15.6" customHeight="1" x14ac:dyDescent="0.2">
      <c r="A26" s="467"/>
      <c r="B26" s="463"/>
      <c r="C26" s="443"/>
      <c r="D26" s="443"/>
      <c r="E26" s="443"/>
    </row>
    <row r="27" spans="1:5" s="767" customFormat="1" ht="15.6" customHeight="1" x14ac:dyDescent="0.2">
      <c r="A27" s="722"/>
      <c r="B27" s="772"/>
      <c r="C27" s="773"/>
      <c r="D27" s="773"/>
      <c r="E27" s="773"/>
    </row>
    <row r="28" spans="1:5" s="25" customFormat="1" ht="14.1" customHeight="1" x14ac:dyDescent="0.2">
      <c r="A28" s="52"/>
      <c r="B28" s="75"/>
      <c r="C28" s="258"/>
      <c r="D28" s="258"/>
      <c r="E28" s="258"/>
    </row>
    <row r="29" spans="1:5" s="172" customFormat="1" ht="14.1" customHeight="1" x14ac:dyDescent="0.25">
      <c r="A29" s="52">
        <f>ROUNDDOWN(A23,0)+1</f>
        <v>12</v>
      </c>
      <c r="B29" s="173" t="str">
        <f>"Note "&amp; A29 &amp; " Fair Value Losses"</f>
        <v>Note 12 Fair Value Losses</v>
      </c>
      <c r="D29" s="62"/>
    </row>
    <row r="30" spans="1:5" s="172" customFormat="1" ht="14.1" customHeight="1" x14ac:dyDescent="0.25">
      <c r="A30" s="52"/>
      <c r="C30" s="176" t="str">
        <f>CurrentFY</f>
        <v>2018/19</v>
      </c>
      <c r="D30" s="62"/>
      <c r="E30" s="624" t="str">
        <f>ComparativeFY</f>
        <v>2017/18</v>
      </c>
    </row>
    <row r="31" spans="1:5" s="172" customFormat="1" ht="14.1" customHeight="1" x14ac:dyDescent="0.25">
      <c r="A31" s="52"/>
      <c r="C31" s="176" t="s">
        <v>283</v>
      </c>
      <c r="D31" s="62"/>
      <c r="E31" s="624" t="s">
        <v>283</v>
      </c>
    </row>
    <row r="32" spans="1:5" s="866" customFormat="1" ht="14.1" customHeight="1" x14ac:dyDescent="0.25">
      <c r="A32" s="722"/>
      <c r="C32" s="867"/>
      <c r="D32" s="670"/>
      <c r="E32" s="664"/>
    </row>
    <row r="33" spans="1:8" s="172" customFormat="1" ht="13.95" customHeight="1" x14ac:dyDescent="0.2">
      <c r="A33" s="52"/>
      <c r="B33" s="197" t="s">
        <v>646</v>
      </c>
      <c r="C33" s="62">
        <v>13</v>
      </c>
      <c r="D33" s="62"/>
      <c r="E33" s="620">
        <v>58</v>
      </c>
    </row>
    <row r="34" spans="1:8" s="172" customFormat="1" ht="13.95" customHeight="1" x14ac:dyDescent="0.2">
      <c r="A34" s="52"/>
      <c r="B34" s="197" t="s">
        <v>647</v>
      </c>
      <c r="C34" s="869">
        <v>-32</v>
      </c>
      <c r="D34" s="62"/>
      <c r="E34" s="870">
        <v>0</v>
      </c>
      <c r="H34" s="732"/>
    </row>
    <row r="35" spans="1:8" s="202" customFormat="1" ht="13.95" customHeight="1" x14ac:dyDescent="0.25">
      <c r="A35" s="52"/>
      <c r="B35" s="204" t="s">
        <v>645</v>
      </c>
      <c r="C35" s="608">
        <f>SUM(C33:C34)</f>
        <v>-19</v>
      </c>
      <c r="D35" s="685"/>
      <c r="E35" s="761">
        <f>SUM(E33:E34)</f>
        <v>58</v>
      </c>
      <c r="F35" s="679"/>
    </row>
    <row r="36" spans="1:8" s="202" customFormat="1" ht="13.95" hidden="1" customHeight="1" x14ac:dyDescent="0.2">
      <c r="A36" s="52"/>
      <c r="B36" s="203" t="s">
        <v>655</v>
      </c>
      <c r="C36" s="62">
        <v>0</v>
      </c>
      <c r="D36" s="62"/>
      <c r="E36" s="620">
        <v>0</v>
      </c>
    </row>
    <row r="37" spans="1:8" s="729" customFormat="1" ht="13.95" customHeight="1" x14ac:dyDescent="0.2">
      <c r="A37" s="722"/>
      <c r="B37" s="739"/>
      <c r="C37" s="670"/>
      <c r="D37" s="670"/>
      <c r="E37" s="671"/>
    </row>
    <row r="38" spans="1:8" s="202" customFormat="1" ht="13.95" customHeight="1" x14ac:dyDescent="0.2">
      <c r="A38" s="52"/>
      <c r="B38" s="203" t="s">
        <v>1181</v>
      </c>
      <c r="C38" s="258">
        <v>0</v>
      </c>
      <c r="D38" s="258"/>
      <c r="E38" s="620">
        <v>-483</v>
      </c>
    </row>
    <row r="39" spans="1:8" s="202" customFormat="1" ht="13.95" hidden="1" customHeight="1" x14ac:dyDescent="0.2">
      <c r="A39" s="52"/>
      <c r="B39" s="203" t="s">
        <v>656</v>
      </c>
      <c r="C39" s="258">
        <v>0</v>
      </c>
      <c r="D39" s="258"/>
      <c r="E39" s="620">
        <v>0</v>
      </c>
    </row>
    <row r="40" spans="1:8" s="202" customFormat="1" ht="13.95" hidden="1" customHeight="1" x14ac:dyDescent="0.2">
      <c r="A40" s="52"/>
      <c r="B40" s="203" t="s">
        <v>850</v>
      </c>
      <c r="C40" s="62">
        <v>0</v>
      </c>
      <c r="D40" s="62"/>
      <c r="E40" s="620">
        <v>0</v>
      </c>
    </row>
    <row r="41" spans="1:8" s="202" customFormat="1" ht="22.8" hidden="1" x14ac:dyDescent="0.2">
      <c r="A41" s="52"/>
      <c r="B41" s="203" t="s">
        <v>928</v>
      </c>
      <c r="C41" s="258">
        <v>0</v>
      </c>
      <c r="D41" s="258"/>
      <c r="E41" s="620">
        <v>0</v>
      </c>
    </row>
    <row r="42" spans="1:8" s="729" customFormat="1" ht="11.4" x14ac:dyDescent="0.2">
      <c r="A42" s="722"/>
      <c r="B42" s="739"/>
      <c r="C42" s="670"/>
      <c r="D42" s="670"/>
      <c r="E42" s="671"/>
    </row>
    <row r="43" spans="1:8" ht="13.95" customHeight="1" thickBot="1" x14ac:dyDescent="0.3">
      <c r="B43" s="177" t="s">
        <v>648</v>
      </c>
      <c r="C43" s="175">
        <f>SUM(C35:C41)</f>
        <v>-19</v>
      </c>
      <c r="E43" s="622">
        <f>SUM(E35:E41)</f>
        <v>-425</v>
      </c>
    </row>
    <row r="44" spans="1:8" s="25" customFormat="1" ht="53.7" customHeight="1" thickTop="1" x14ac:dyDescent="0.2">
      <c r="A44" s="52"/>
      <c r="B44" s="931"/>
      <c r="C44" s="931"/>
      <c r="D44" s="931"/>
      <c r="E44" s="931"/>
    </row>
    <row r="45" spans="1:8" s="25" customFormat="1" ht="14.1" customHeight="1" x14ac:dyDescent="0.2">
      <c r="A45" s="52"/>
      <c r="B45" s="202"/>
      <c r="D45" s="62"/>
    </row>
    <row r="46" spans="1:8" ht="14.1" customHeight="1" x14ac:dyDescent="0.2">
      <c r="C46" s="32"/>
      <c r="E46" s="32"/>
    </row>
  </sheetData>
  <customSheetViews>
    <customSheetView guid="{EDC1BD6E-863A-4FC6-A3A9-F32079F4F0C1}" topLeftCell="A19">
      <selection activeCell="G43" sqref="G43"/>
      <pageMargins left="0.7" right="0.7" top="0.75" bottom="0.75" header="0.3" footer="0.3"/>
      <pageSetup paperSize="9" orientation="portrait" verticalDpi="0" r:id="rId1"/>
    </customSheetView>
  </customSheetViews>
  <mergeCells count="2">
    <mergeCell ref="B44:E44"/>
    <mergeCell ref="B25:E25"/>
  </mergeCells>
  <pageMargins left="0.70866141732283472" right="0.70866141732283472" top="0.74803149606299213" bottom="0.74803149606299213" header="0.31496062992125984" footer="0.31496062992125984"/>
  <pageSetup paperSize="9" orientation="portrait" r:id="rId2"/>
  <headerFooter>
    <oddHeader>&amp;C&amp;10Hull University Teaching Hospitals NHS Trust - Annual Accounts 2018/19</oddHeader>
    <oddFooter>&amp;C&amp;10Page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8" tint="0.39997558519241921"/>
  </sheetPr>
  <dimension ref="A1:H44"/>
  <sheetViews>
    <sheetView topLeftCell="B31" zoomScaleNormal="100" workbookViewId="0">
      <selection activeCell="B30" sqref="B30:F32"/>
    </sheetView>
  </sheetViews>
  <sheetFormatPr defaultColWidth="9.109375" defaultRowHeight="14.1" customHeight="1" x14ac:dyDescent="0.2"/>
  <cols>
    <col min="1" max="1" width="0.88671875" style="52" customWidth="1"/>
    <col min="2" max="2" width="44.109375" style="18" customWidth="1"/>
    <col min="3" max="3" width="8.6640625" style="18" customWidth="1"/>
    <col min="4" max="4" width="2.6640625" style="679" customWidth="1"/>
    <col min="5" max="5" width="11.6640625" style="18" customWidth="1"/>
    <col min="6" max="6" width="2.6640625" style="679" customWidth="1"/>
    <col min="7" max="7" width="8.6640625" style="18" customWidth="1"/>
    <col min="8" max="16384" width="9.109375" style="18"/>
  </cols>
  <sheetData>
    <row r="1" spans="1:8" ht="14.1" customHeight="1" x14ac:dyDescent="0.2">
      <c r="A1" s="52">
        <f>'Finance &amp; other'!A29+1</f>
        <v>13</v>
      </c>
    </row>
    <row r="2" spans="1:8" s="767" customFormat="1" ht="14.1" customHeight="1" x14ac:dyDescent="0.25">
      <c r="A2" s="722"/>
      <c r="B2" s="115" t="str">
        <f>"Note " &amp;A1&amp; " Intangible assets - " &amp; CurrentFY</f>
        <v>Note 13 Intangible assets - 2018/19</v>
      </c>
      <c r="D2" s="679"/>
      <c r="F2" s="679"/>
      <c r="H2" s="676"/>
    </row>
    <row r="3" spans="1:8" ht="31.2" customHeight="1" x14ac:dyDescent="0.25">
      <c r="B3" s="115"/>
      <c r="C3" s="113" t="s">
        <v>480</v>
      </c>
      <c r="D3" s="136"/>
      <c r="E3" s="113" t="s">
        <v>476</v>
      </c>
      <c r="F3" s="136"/>
      <c r="G3" s="113" t="s">
        <v>360</v>
      </c>
    </row>
    <row r="4" spans="1:8" ht="14.1" customHeight="1" x14ac:dyDescent="0.25">
      <c r="B4" s="115"/>
      <c r="C4" s="113" t="s">
        <v>283</v>
      </c>
      <c r="D4" s="136"/>
      <c r="E4" s="113" t="s">
        <v>283</v>
      </c>
      <c r="F4" s="136"/>
      <c r="G4" s="113" t="s">
        <v>283</v>
      </c>
    </row>
    <row r="5" spans="1:8" ht="37.200000000000003" customHeight="1" x14ac:dyDescent="0.25">
      <c r="B5" s="115" t="str">
        <f>"Valuation / gross cost at " &amp; TEXT(CurrentYearStart,"d mmmm yyyy") &amp; " - brought forward"</f>
        <v>Valuation / gross cost at 1 April 2018 - brought forward</v>
      </c>
      <c r="C5" s="572">
        <f>C31</f>
        <v>447</v>
      </c>
      <c r="D5" s="792"/>
      <c r="E5" s="572">
        <f>E31</f>
        <v>7237</v>
      </c>
      <c r="F5" s="792"/>
      <c r="G5" s="572">
        <f>SUM(C5:E5)</f>
        <v>7684</v>
      </c>
      <c r="H5" s="602"/>
    </row>
    <row r="6" spans="1:8" ht="14.1" customHeight="1" x14ac:dyDescent="0.2">
      <c r="B6" s="137" t="s">
        <v>465</v>
      </c>
      <c r="C6" s="602"/>
      <c r="D6" s="762"/>
      <c r="E6" s="671">
        <v>2259</v>
      </c>
      <c r="F6" s="762"/>
      <c r="G6" s="572">
        <f>SUM(C6:E6)</f>
        <v>2259</v>
      </c>
      <c r="H6" s="602"/>
    </row>
    <row r="7" spans="1:8" ht="14.1" customHeight="1" x14ac:dyDescent="0.2">
      <c r="B7" s="137" t="s">
        <v>367</v>
      </c>
      <c r="C7" s="602"/>
      <c r="D7" s="762"/>
      <c r="E7" s="671">
        <v>1957</v>
      </c>
      <c r="F7" s="762"/>
      <c r="G7" s="572">
        <f>SUM(C7:E7)</f>
        <v>1957</v>
      </c>
      <c r="H7" s="602"/>
    </row>
    <row r="8" spans="1:8" ht="14.1" customHeight="1" x14ac:dyDescent="0.2">
      <c r="B8" s="137" t="s">
        <v>1183</v>
      </c>
      <c r="C8" s="602"/>
      <c r="D8" s="762"/>
      <c r="E8" s="671">
        <v>-2080</v>
      </c>
      <c r="F8" s="762"/>
      <c r="G8" s="572">
        <f>SUM(C8:E8)</f>
        <v>-2080</v>
      </c>
      <c r="H8" s="602"/>
    </row>
    <row r="9" spans="1:8" s="183" customFormat="1" ht="14.1" customHeight="1" x14ac:dyDescent="0.2">
      <c r="A9" s="52"/>
      <c r="B9" s="221"/>
      <c r="C9" s="671"/>
      <c r="D9" s="762"/>
      <c r="E9" s="671"/>
      <c r="F9" s="762"/>
      <c r="G9" s="572"/>
      <c r="H9" s="602"/>
    </row>
    <row r="10" spans="1:8" ht="14.1" customHeight="1" thickBot="1" x14ac:dyDescent="0.3">
      <c r="B10" s="123" t="str">
        <f>"Valuation / gross cost at " &amp; TEXT(CurrentYearEnd, "d mmmm yyyy")</f>
        <v>Valuation / gross cost at 31 March 2019</v>
      </c>
      <c r="C10" s="622">
        <f>SUM(C5:C9)</f>
        <v>447</v>
      </c>
      <c r="D10" s="758"/>
      <c r="E10" s="622">
        <f>SUM(E5:E9)</f>
        <v>9373</v>
      </c>
      <c r="F10" s="758"/>
      <c r="G10" s="622">
        <f>SUM(G5:G9)</f>
        <v>9820</v>
      </c>
      <c r="H10" s="602"/>
    </row>
    <row r="11" spans="1:8" ht="23.4" customHeight="1" thickTop="1" x14ac:dyDescent="0.25">
      <c r="B11" s="115"/>
      <c r="C11" s="550"/>
      <c r="D11" s="55"/>
      <c r="E11" s="550"/>
      <c r="F11" s="55"/>
      <c r="G11" s="550"/>
      <c r="H11" s="602"/>
    </row>
    <row r="12" spans="1:8" ht="14.1" customHeight="1" x14ac:dyDescent="0.25">
      <c r="B12" s="115" t="str">
        <f>"Amortisation at " &amp; TEXT(CurrentYearStart,"d mmmm yyyy") &amp; " - brought forward"</f>
        <v>Amortisation at 1 April 2018 - brought forward</v>
      </c>
      <c r="C12" s="572">
        <f>C38</f>
        <v>0</v>
      </c>
      <c r="D12" s="792"/>
      <c r="E12" s="572">
        <f>E38</f>
        <v>5489</v>
      </c>
      <c r="F12" s="792"/>
      <c r="G12" s="572">
        <f>SUM(C12:E12)</f>
        <v>5489</v>
      </c>
      <c r="H12" s="602"/>
    </row>
    <row r="13" spans="1:8" ht="14.1" customHeight="1" x14ac:dyDescent="0.2">
      <c r="B13" s="137" t="s">
        <v>369</v>
      </c>
      <c r="C13" s="671">
        <v>288</v>
      </c>
      <c r="D13" s="762"/>
      <c r="E13" s="671">
        <v>1153</v>
      </c>
      <c r="F13" s="762"/>
      <c r="G13" s="572">
        <f>SUM(C13:E13)</f>
        <v>1441</v>
      </c>
      <c r="H13" s="602"/>
    </row>
    <row r="14" spans="1:8" ht="14.1" customHeight="1" x14ac:dyDescent="0.2">
      <c r="B14" s="137" t="s">
        <v>1183</v>
      </c>
      <c r="C14" s="671"/>
      <c r="D14" s="762"/>
      <c r="E14" s="671">
        <v>-2080</v>
      </c>
      <c r="F14" s="762"/>
      <c r="G14" s="572">
        <f>SUM(C14:E14)</f>
        <v>-2080</v>
      </c>
      <c r="H14" s="602"/>
    </row>
    <row r="15" spans="1:8" s="808" customFormat="1" ht="14.1" customHeight="1" x14ac:dyDescent="0.2">
      <c r="A15" s="722"/>
      <c r="B15" s="809"/>
      <c r="C15" s="671"/>
      <c r="D15" s="762"/>
      <c r="E15" s="671"/>
      <c r="F15" s="762"/>
      <c r="G15" s="572"/>
      <c r="H15" s="602"/>
    </row>
    <row r="16" spans="1:8" ht="14.1" customHeight="1" thickBot="1" x14ac:dyDescent="0.3">
      <c r="B16" s="123" t="str">
        <f>"Amortisation at " &amp; TEXT(CurrentYearEnd, "d mmmm yyyy")</f>
        <v>Amortisation at 31 March 2019</v>
      </c>
      <c r="C16" s="622">
        <f>SUM(C12:C15)</f>
        <v>288</v>
      </c>
      <c r="D16" s="758"/>
      <c r="E16" s="622">
        <f>SUM(E12:E15)</f>
        <v>4562</v>
      </c>
      <c r="F16" s="758"/>
      <c r="G16" s="622">
        <f>SUM(G12:G15)</f>
        <v>4850</v>
      </c>
      <c r="H16" s="602"/>
    </row>
    <row r="17" spans="1:8" ht="14.1" customHeight="1" thickTop="1" x14ac:dyDescent="0.25">
      <c r="B17" s="115"/>
      <c r="C17" s="32"/>
      <c r="D17" s="55"/>
      <c r="E17" s="32"/>
      <c r="F17" s="55"/>
      <c r="G17" s="32"/>
    </row>
    <row r="18" spans="1:8" ht="14.1" customHeight="1" x14ac:dyDescent="0.25">
      <c r="C18" s="182"/>
      <c r="D18" s="111"/>
      <c r="E18" s="185"/>
      <c r="F18" s="111"/>
      <c r="G18" s="237"/>
    </row>
    <row r="19" spans="1:8" ht="14.1" customHeight="1" x14ac:dyDescent="0.25">
      <c r="B19" s="115" t="str">
        <f>"Net book value at "&amp; TEXT(CurrentYearEnd, "d mmmm yyyy")</f>
        <v>Net book value at 31 March 2019</v>
      </c>
      <c r="C19" s="810">
        <f>+C10-C16</f>
        <v>159</v>
      </c>
      <c r="D19" s="811"/>
      <c r="E19" s="810">
        <f>+E10-E16</f>
        <v>4811</v>
      </c>
      <c r="F19" s="811"/>
      <c r="G19" s="810">
        <f>+G10-G16</f>
        <v>4970</v>
      </c>
      <c r="H19" s="602"/>
    </row>
    <row r="20" spans="1:8" ht="6" customHeight="1" x14ac:dyDescent="0.2"/>
    <row r="21" spans="1:8" s="767" customFormat="1" ht="4.2" customHeight="1" x14ac:dyDescent="0.2">
      <c r="A21" s="722"/>
      <c r="D21" s="679"/>
      <c r="F21" s="679"/>
    </row>
    <row r="22" spans="1:8" ht="7.2" customHeight="1" x14ac:dyDescent="0.2"/>
    <row r="23" spans="1:8" ht="14.1" customHeight="1" x14ac:dyDescent="0.25">
      <c r="A23" s="52">
        <f>A1+0.1</f>
        <v>13.1</v>
      </c>
      <c r="B23" s="115" t="str">
        <f>"Note "&amp; A23 &amp; " Intangible assets - " &amp; ComparativeFY</f>
        <v>Note 13.1 Intangible assets - 2017/18</v>
      </c>
    </row>
    <row r="24" spans="1:8" ht="34.950000000000003" customHeight="1" x14ac:dyDescent="0.25">
      <c r="B24" s="115"/>
      <c r="C24" s="664" t="s">
        <v>480</v>
      </c>
      <c r="D24" s="763"/>
      <c r="E24" s="664" t="s">
        <v>476</v>
      </c>
      <c r="F24" s="763"/>
      <c r="G24" s="664" t="s">
        <v>360</v>
      </c>
    </row>
    <row r="25" spans="1:8" ht="14.1" customHeight="1" x14ac:dyDescent="0.25">
      <c r="B25" s="115"/>
      <c r="C25" s="664" t="s">
        <v>283</v>
      </c>
      <c r="D25" s="763"/>
      <c r="E25" s="664" t="s">
        <v>283</v>
      </c>
      <c r="F25" s="763"/>
      <c r="G25" s="664" t="s">
        <v>283</v>
      </c>
    </row>
    <row r="26" spans="1:8" ht="4.2" customHeight="1" x14ac:dyDescent="0.25">
      <c r="B26" s="115"/>
      <c r="C26" s="572"/>
      <c r="D26" s="792"/>
      <c r="E26" s="572"/>
      <c r="F26" s="792"/>
      <c r="G26" s="572"/>
    </row>
    <row r="27" spans="1:8" s="729" customFormat="1" ht="6.6" customHeight="1" x14ac:dyDescent="0.2">
      <c r="A27" s="722"/>
      <c r="B27" s="739"/>
      <c r="C27" s="671"/>
      <c r="D27" s="762"/>
      <c r="E27" s="671"/>
      <c r="F27" s="762"/>
      <c r="G27" s="572"/>
    </row>
    <row r="28" spans="1:8" ht="14.1" customHeight="1" x14ac:dyDescent="0.25">
      <c r="B28" s="115" t="str">
        <f>"Valuation / gross cost at " &amp; TEXT(ComparativeYearStart, "d mmmm yyyy") &amp; " "</f>
        <v xml:space="preserve">Valuation / gross cost at 1 April 2017 </v>
      </c>
      <c r="C28" s="761">
        <v>0</v>
      </c>
      <c r="D28" s="761"/>
      <c r="E28" s="761">
        <v>7237</v>
      </c>
      <c r="F28" s="761"/>
      <c r="G28" s="761">
        <f>SUM(C28:E28)</f>
        <v>7237</v>
      </c>
    </row>
    <row r="29" spans="1:8" ht="15.6" customHeight="1" x14ac:dyDescent="0.2">
      <c r="B29" s="137" t="s">
        <v>465</v>
      </c>
      <c r="C29" s="671">
        <v>447</v>
      </c>
      <c r="D29" s="762"/>
      <c r="E29" s="671"/>
      <c r="F29" s="762"/>
      <c r="G29" s="572">
        <f>SUM(C29:E29)</f>
        <v>447</v>
      </c>
    </row>
    <row r="30" spans="1:8" s="808" customFormat="1" ht="14.1" customHeight="1" x14ac:dyDescent="0.2">
      <c r="A30" s="722"/>
      <c r="B30" s="809"/>
      <c r="C30" s="671"/>
      <c r="D30" s="762"/>
      <c r="E30" s="671"/>
      <c r="F30" s="762"/>
      <c r="G30" s="572"/>
    </row>
    <row r="31" spans="1:8" ht="14.1" customHeight="1" thickBot="1" x14ac:dyDescent="0.3">
      <c r="B31" s="123" t="str">
        <f>"Valuation / gross cost at " &amp; TEXT(ComparativeYearEnd, "d mmmm yyyy")</f>
        <v>Valuation / gross cost at 31 March 2018</v>
      </c>
      <c r="C31" s="622">
        <f>SUM(C28:C29)</f>
        <v>447</v>
      </c>
      <c r="D31" s="758"/>
      <c r="E31" s="622">
        <f>SUM(E28:E29)</f>
        <v>7237</v>
      </c>
      <c r="F31" s="758"/>
      <c r="G31" s="622">
        <f>SUM(G28:G29)</f>
        <v>7684</v>
      </c>
    </row>
    <row r="32" spans="1:8" ht="12.45" customHeight="1" thickTop="1" x14ac:dyDescent="0.2">
      <c r="C32" s="600"/>
      <c r="D32" s="45"/>
      <c r="E32" s="600"/>
      <c r="F32" s="45"/>
      <c r="G32" s="600"/>
    </row>
    <row r="33" spans="1:7" ht="14.1" customHeight="1" x14ac:dyDescent="0.2">
      <c r="B33" s="137"/>
      <c r="C33" s="671"/>
      <c r="D33" s="762"/>
      <c r="E33" s="671"/>
      <c r="F33" s="762"/>
      <c r="G33" s="572"/>
    </row>
    <row r="34" spans="1:7" ht="14.1" customHeight="1" x14ac:dyDescent="0.25">
      <c r="B34" s="115" t="str">
        <f>"Amortisation at " &amp; TEXT(ComparativeYearStart, "d mmmm yyyy") &amp;" "</f>
        <v xml:space="preserve">Amortisation at 1 April 2017 </v>
      </c>
      <c r="C34" s="761">
        <v>0</v>
      </c>
      <c r="D34" s="761"/>
      <c r="E34" s="761">
        <v>4331</v>
      </c>
      <c r="F34" s="761"/>
      <c r="G34" s="761">
        <f>SUM(C34:E34)</f>
        <v>4331</v>
      </c>
    </row>
    <row r="35" spans="1:7" ht="22.95" customHeight="1" x14ac:dyDescent="0.2">
      <c r="B35" s="137" t="s">
        <v>369</v>
      </c>
      <c r="C35" s="671">
        <v>0</v>
      </c>
      <c r="D35" s="762"/>
      <c r="E35" s="671">
        <v>1158</v>
      </c>
      <c r="F35" s="762"/>
      <c r="G35" s="761">
        <f>SUM(C35:E35)</f>
        <v>1158</v>
      </c>
    </row>
    <row r="36" spans="1:7" ht="6.6" customHeight="1" x14ac:dyDescent="0.2">
      <c r="B36" s="137"/>
      <c r="C36" s="671"/>
      <c r="D36" s="762"/>
      <c r="E36" s="671"/>
      <c r="F36" s="762"/>
      <c r="G36" s="572"/>
    </row>
    <row r="37" spans="1:7" s="183" customFormat="1" ht="14.1" customHeight="1" x14ac:dyDescent="0.2">
      <c r="A37" s="52"/>
      <c r="B37" s="221"/>
      <c r="C37" s="671"/>
      <c r="D37" s="762"/>
      <c r="E37" s="671"/>
      <c r="F37" s="762"/>
      <c r="G37" s="572"/>
    </row>
    <row r="38" spans="1:7" ht="14.1" customHeight="1" thickBot="1" x14ac:dyDescent="0.3">
      <c r="B38" s="123" t="str">
        <f>"Amortisation at " &amp;TEXT(ComparativeYearEnd, "d mmmm yyyy")</f>
        <v>Amortisation at 31 March 2018</v>
      </c>
      <c r="C38" s="622">
        <f>SUM(C34:C37)</f>
        <v>0</v>
      </c>
      <c r="D38" s="758"/>
      <c r="E38" s="622">
        <f>SUM(E34:E37)</f>
        <v>5489</v>
      </c>
      <c r="F38" s="758"/>
      <c r="G38" s="622">
        <f>SUM(G34:G37)</f>
        <v>5489</v>
      </c>
    </row>
    <row r="39" spans="1:7" ht="9.75" customHeight="1" thickTop="1" x14ac:dyDescent="0.2">
      <c r="C39" s="600"/>
      <c r="D39" s="45"/>
      <c r="E39" s="600"/>
      <c r="F39" s="45"/>
      <c r="G39" s="600"/>
    </row>
    <row r="40" spans="1:7" ht="14.1" customHeight="1" x14ac:dyDescent="0.25">
      <c r="B40" s="115" t="str">
        <f>"Net book value at "&amp;TEXT(ComparativeYearEnd, "d mmmm yyyy")</f>
        <v>Net book value at 31 March 2018</v>
      </c>
      <c r="C40" s="572">
        <f>+C31-C38</f>
        <v>447</v>
      </c>
      <c r="D40" s="792"/>
      <c r="E40" s="572">
        <f>+E31-E38</f>
        <v>1748</v>
      </c>
      <c r="F40" s="792"/>
      <c r="G40" s="572">
        <f>SUM(C40:E40)</f>
        <v>2195</v>
      </c>
    </row>
    <row r="41" spans="1:7" ht="21" customHeight="1" x14ac:dyDescent="0.25">
      <c r="B41" s="115"/>
      <c r="C41" s="572"/>
      <c r="D41" s="792"/>
      <c r="E41" s="572"/>
      <c r="F41" s="792"/>
      <c r="G41" s="572"/>
    </row>
    <row r="42" spans="1:7" ht="47.4" customHeight="1" x14ac:dyDescent="0.2">
      <c r="B42" s="930" t="s">
        <v>1076</v>
      </c>
      <c r="C42" s="930"/>
      <c r="D42" s="930"/>
      <c r="E42" s="930"/>
      <c r="F42" s="930"/>
      <c r="G42" s="930"/>
    </row>
    <row r="44" spans="1:7" ht="30" customHeight="1" x14ac:dyDescent="0.3">
      <c r="B44" s="934" t="s">
        <v>1229</v>
      </c>
      <c r="C44" s="935"/>
      <c r="D44" s="936"/>
      <c r="E44" s="936"/>
    </row>
  </sheetData>
  <customSheetViews>
    <customSheetView guid="{EDC1BD6E-863A-4FC6-A3A9-F32079F4F0C1}">
      <selection activeCell="B34" sqref="B34"/>
      <pageMargins left="0.25" right="0.25" top="0.75" bottom="0.75" header="0.3" footer="0.3"/>
      <pageSetup paperSize="9" orientation="landscape" verticalDpi="0" r:id="rId1"/>
    </customSheetView>
  </customSheetViews>
  <mergeCells count="2">
    <mergeCell ref="B42:G42"/>
    <mergeCell ref="B44:E44"/>
  </mergeCells>
  <pageMargins left="0.70866141732283472" right="0.70866141732283472" top="0.74803149606299213" bottom="0.74803149606299213" header="0.31496062992125984" footer="0.31496062992125984"/>
  <pageSetup paperSize="9" fitToHeight="0" orientation="portrait" r:id="rId2"/>
  <headerFooter>
    <oddHeader>&amp;C&amp;10Hull University Teaching Hospitals NHS Trust - Annual Accounts 2018/19</oddHeader>
    <oddFooter>&amp;C&amp;10Page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8" tint="0.39997558519241921"/>
  </sheetPr>
  <dimension ref="A1:Z72"/>
  <sheetViews>
    <sheetView zoomScaleNormal="100" zoomScaleSheetLayoutView="90" workbookViewId="0">
      <selection activeCell="C7" sqref="C7"/>
    </sheetView>
  </sheetViews>
  <sheetFormatPr defaultColWidth="9.109375" defaultRowHeight="14.1" customHeight="1" x14ac:dyDescent="0.2"/>
  <cols>
    <col min="1" max="1" width="0.88671875" style="52" customWidth="1"/>
    <col min="2" max="2" width="35.88671875" style="18" customWidth="1"/>
    <col min="3" max="3" width="8.6640625" style="18" customWidth="1"/>
    <col min="4" max="4" width="2.6640625" style="679" customWidth="1"/>
    <col min="5" max="5" width="8.6640625" style="18" customWidth="1"/>
    <col min="6" max="6" width="2.6640625" style="679" customWidth="1"/>
    <col min="7" max="7" width="10.6640625" style="18" customWidth="1"/>
    <col min="8" max="8" width="2.6640625" style="679" customWidth="1"/>
    <col min="9" max="9" width="8.6640625" style="18" customWidth="1"/>
    <col min="10" max="10" width="2.6640625" style="679" customWidth="1"/>
    <col min="11" max="11" width="9.33203125" style="18" customWidth="1"/>
    <col min="12" max="12" width="2.6640625" style="679" customWidth="1"/>
    <col min="13" max="13" width="9.6640625" style="18" customWidth="1"/>
    <col min="14" max="14" width="2.6640625" style="679" customWidth="1"/>
    <col min="15" max="15" width="8.6640625" style="18" customWidth="1"/>
    <col min="16" max="16384" width="9.109375" style="18"/>
  </cols>
  <sheetData>
    <row r="1" spans="1:26" ht="14.1" customHeight="1" thickBot="1" x14ac:dyDescent="0.3">
      <c r="A1" s="52">
        <f>ROUNDDOWN(Intangibles!A23,0)+1.1</f>
        <v>14.1</v>
      </c>
      <c r="B1" s="123" t="str">
        <f>"Note "&amp;A1&amp; " Property, plant and equipment - " &amp; CurrentFY</f>
        <v>Note 14.1 Property, plant and equipment - 2018/19</v>
      </c>
      <c r="E1" s="46"/>
      <c r="F1" s="478"/>
      <c r="G1" s="267"/>
      <c r="H1" s="478"/>
      <c r="I1" s="267"/>
      <c r="J1" s="478"/>
      <c r="K1" s="267"/>
      <c r="L1" s="478"/>
      <c r="M1" s="267"/>
      <c r="N1" s="478"/>
      <c r="O1" s="267"/>
      <c r="P1" s="839"/>
      <c r="Q1" s="478"/>
      <c r="R1" s="478"/>
      <c r="S1" s="478"/>
      <c r="T1" s="478"/>
      <c r="U1" s="478"/>
      <c r="V1" s="478"/>
      <c r="W1" s="478"/>
      <c r="X1" s="478"/>
      <c r="Y1" s="478"/>
      <c r="Z1" s="341"/>
    </row>
    <row r="2" spans="1:26" ht="53.4" customHeight="1" x14ac:dyDescent="0.25">
      <c r="B2" s="115"/>
      <c r="C2" s="113" t="s">
        <v>361</v>
      </c>
      <c r="D2" s="136"/>
      <c r="E2" s="113" t="s">
        <v>362</v>
      </c>
      <c r="F2" s="136"/>
      <c r="G2" s="113" t="s">
        <v>475</v>
      </c>
      <c r="H2" s="136"/>
      <c r="I2" s="113" t="s">
        <v>364</v>
      </c>
      <c r="J2" s="136"/>
      <c r="K2" s="113" t="s">
        <v>365</v>
      </c>
      <c r="L2" s="136"/>
      <c r="M2" s="113" t="s">
        <v>372</v>
      </c>
      <c r="N2" s="136"/>
      <c r="O2" s="113" t="s">
        <v>360</v>
      </c>
      <c r="P2" s="33"/>
      <c r="Q2" s="33"/>
      <c r="R2" s="33"/>
    </row>
    <row r="3" spans="1:26" ht="14.1" customHeight="1" x14ac:dyDescent="0.25">
      <c r="B3" s="115"/>
      <c r="C3" s="113" t="s">
        <v>283</v>
      </c>
      <c r="D3" s="136"/>
      <c r="E3" s="113" t="s">
        <v>283</v>
      </c>
      <c r="F3" s="136"/>
      <c r="G3" s="113" t="s">
        <v>250</v>
      </c>
      <c r="H3" s="136"/>
      <c r="I3" s="113" t="s">
        <v>250</v>
      </c>
      <c r="J3" s="136"/>
      <c r="K3" s="113" t="s">
        <v>250</v>
      </c>
      <c r="L3" s="136"/>
      <c r="M3" s="113" t="s">
        <v>250</v>
      </c>
      <c r="N3" s="136"/>
      <c r="O3" s="113" t="s">
        <v>283</v>
      </c>
    </row>
    <row r="4" spans="1:26" s="729" customFormat="1" ht="14.1" customHeight="1" x14ac:dyDescent="0.25">
      <c r="A4" s="722"/>
      <c r="B4" s="735"/>
      <c r="C4" s="738"/>
      <c r="D4" s="136"/>
      <c r="E4" s="738"/>
      <c r="F4" s="136"/>
      <c r="G4" s="738"/>
      <c r="H4" s="136"/>
      <c r="I4" s="738"/>
      <c r="J4" s="136"/>
      <c r="K4" s="738"/>
      <c r="L4" s="136"/>
      <c r="M4" s="738"/>
      <c r="N4" s="136"/>
      <c r="O4" s="738"/>
    </row>
    <row r="5" spans="1:26" ht="26.7" customHeight="1" x14ac:dyDescent="0.25">
      <c r="B5" s="115" t="str">
        <f>"Valuation/gross cost at " &amp; TEXT(CurrentYearStart,"d mmmm yyyy") &amp; " - brought forward"</f>
        <v>Valuation/gross cost at 1 April 2018 - brought forward</v>
      </c>
      <c r="C5" s="74">
        <f>'PPE 1'!C19</f>
        <v>11574</v>
      </c>
      <c r="D5" s="111"/>
      <c r="E5" s="246">
        <f>'PPE 1'!E19</f>
        <v>239345</v>
      </c>
      <c r="F5" s="111"/>
      <c r="G5" s="246">
        <f>'PPE 1'!H19</f>
        <v>3876</v>
      </c>
      <c r="H5" s="111"/>
      <c r="I5" s="246">
        <f>'PPE 1'!J19</f>
        <v>68677</v>
      </c>
      <c r="J5" s="111"/>
      <c r="K5" s="246">
        <f>'PPE 1'!L19</f>
        <v>330</v>
      </c>
      <c r="L5" s="111"/>
      <c r="M5" s="246">
        <f>'PPE 1'!N19</f>
        <v>15255</v>
      </c>
      <c r="N5" s="111"/>
      <c r="O5" s="74">
        <f t="shared" ref="O5:O10" si="0">SUM(C5:M5)</f>
        <v>339057</v>
      </c>
    </row>
    <row r="6" spans="1:26" ht="14.1" customHeight="1" x14ac:dyDescent="0.25">
      <c r="B6" s="137" t="s">
        <v>465</v>
      </c>
      <c r="C6" s="62">
        <v>0</v>
      </c>
      <c r="D6" s="685"/>
      <c r="E6" s="258">
        <v>16116</v>
      </c>
      <c r="F6" s="685"/>
      <c r="G6" s="258">
        <v>431</v>
      </c>
      <c r="H6" s="685"/>
      <c r="I6" s="258">
        <v>2578</v>
      </c>
      <c r="J6" s="685"/>
      <c r="K6" s="258">
        <v>58</v>
      </c>
      <c r="L6" s="685"/>
      <c r="M6" s="258">
        <v>2073</v>
      </c>
      <c r="N6" s="685"/>
      <c r="O6" s="237">
        <f t="shared" si="0"/>
        <v>21256</v>
      </c>
      <c r="P6" s="23"/>
      <c r="Q6" s="346"/>
      <c r="R6" s="26"/>
    </row>
    <row r="7" spans="1:26" ht="14.1" customHeight="1" x14ac:dyDescent="0.25">
      <c r="B7" s="137" t="s">
        <v>242</v>
      </c>
      <c r="C7" s="62">
        <v>-1933</v>
      </c>
      <c r="D7" s="685"/>
      <c r="E7" s="258">
        <v>-19466</v>
      </c>
      <c r="F7" s="685"/>
      <c r="G7" s="258">
        <v>0</v>
      </c>
      <c r="H7" s="685"/>
      <c r="I7" s="258">
        <v>0</v>
      </c>
      <c r="J7" s="685"/>
      <c r="K7" s="258">
        <v>0</v>
      </c>
      <c r="L7" s="685"/>
      <c r="M7" s="258">
        <v>0</v>
      </c>
      <c r="N7" s="685"/>
      <c r="O7" s="237">
        <f t="shared" si="0"/>
        <v>-21399</v>
      </c>
      <c r="P7" s="23"/>
      <c r="Q7" s="346"/>
      <c r="R7" s="26"/>
    </row>
    <row r="8" spans="1:26" s="903" customFormat="1" ht="14.1" customHeight="1" x14ac:dyDescent="0.25">
      <c r="A8" s="722"/>
      <c r="B8" s="904" t="s">
        <v>1232</v>
      </c>
      <c r="C8" s="670">
        <v>0</v>
      </c>
      <c r="D8" s="685"/>
      <c r="E8" s="670">
        <v>1370</v>
      </c>
      <c r="F8" s="685"/>
      <c r="G8" s="670">
        <v>0</v>
      </c>
      <c r="H8" s="685"/>
      <c r="I8" s="670">
        <v>0</v>
      </c>
      <c r="J8" s="685"/>
      <c r="K8" s="670">
        <v>0</v>
      </c>
      <c r="L8" s="685"/>
      <c r="M8" s="670">
        <v>0</v>
      </c>
      <c r="N8" s="685"/>
      <c r="O8" s="606">
        <f t="shared" si="0"/>
        <v>1370</v>
      </c>
      <c r="P8" s="675"/>
      <c r="R8" s="676"/>
    </row>
    <row r="9" spans="1:26" ht="14.1" customHeight="1" x14ac:dyDescent="0.25">
      <c r="B9" s="137" t="s">
        <v>367</v>
      </c>
      <c r="C9" s="258">
        <v>0</v>
      </c>
      <c r="D9" s="685"/>
      <c r="E9" s="258">
        <v>586</v>
      </c>
      <c r="F9" s="685"/>
      <c r="G9" s="258">
        <v>0</v>
      </c>
      <c r="H9" s="685"/>
      <c r="I9" s="258">
        <v>-3391</v>
      </c>
      <c r="J9" s="685"/>
      <c r="K9" s="258">
        <v>5</v>
      </c>
      <c r="L9" s="685"/>
      <c r="M9" s="258">
        <v>843</v>
      </c>
      <c r="N9" s="685"/>
      <c r="O9" s="237">
        <f t="shared" si="0"/>
        <v>-1957</v>
      </c>
      <c r="P9" s="23"/>
      <c r="Q9" s="346"/>
      <c r="R9" s="26"/>
    </row>
    <row r="10" spans="1:26" ht="14.1" customHeight="1" x14ac:dyDescent="0.25">
      <c r="B10" s="137" t="s">
        <v>368</v>
      </c>
      <c r="C10" s="258">
        <v>0</v>
      </c>
      <c r="D10" s="685"/>
      <c r="E10" s="670">
        <v>-31</v>
      </c>
      <c r="F10" s="685"/>
      <c r="G10" s="670">
        <v>0</v>
      </c>
      <c r="H10" s="685"/>
      <c r="I10" s="670">
        <v>-10131</v>
      </c>
      <c r="J10" s="685"/>
      <c r="K10" s="670">
        <v>-51</v>
      </c>
      <c r="L10" s="685"/>
      <c r="M10" s="670">
        <v>-1429</v>
      </c>
      <c r="N10" s="685"/>
      <c r="O10" s="237">
        <f t="shared" si="0"/>
        <v>-11642</v>
      </c>
      <c r="P10" s="23"/>
      <c r="Q10" s="346"/>
      <c r="R10" s="26"/>
    </row>
    <row r="11" spans="1:26" s="729" customFormat="1" ht="14.1" customHeight="1" x14ac:dyDescent="0.25">
      <c r="A11" s="722"/>
      <c r="B11" s="221"/>
      <c r="C11" s="670"/>
      <c r="D11" s="685"/>
      <c r="N11" s="685"/>
      <c r="O11" s="606"/>
      <c r="P11" s="675"/>
    </row>
    <row r="12" spans="1:26" ht="14.1" customHeight="1" thickBot="1" x14ac:dyDescent="0.3">
      <c r="B12" s="123" t="str">
        <f>"Valuation/gross cost at " &amp; TEXT(CurrentYearEnd, "d mmmm yyyy")</f>
        <v>Valuation/gross cost at 31 March 2019</v>
      </c>
      <c r="C12" s="63">
        <f>SUM(C5:C10)</f>
        <v>9641</v>
      </c>
      <c r="D12" s="684"/>
      <c r="E12" s="236">
        <f>SUM(E5:E10)</f>
        <v>237920</v>
      </c>
      <c r="F12" s="684"/>
      <c r="G12" s="236">
        <f>SUM(G5:G10)</f>
        <v>4307</v>
      </c>
      <c r="H12" s="684"/>
      <c r="I12" s="236">
        <f>SUM(I5:I10)</f>
        <v>57733</v>
      </c>
      <c r="J12" s="684"/>
      <c r="K12" s="236">
        <f>SUM(K5:K10)</f>
        <v>342</v>
      </c>
      <c r="L12" s="684"/>
      <c r="M12" s="236">
        <f>SUM(M5:M10)</f>
        <v>16742</v>
      </c>
      <c r="N12" s="684"/>
      <c r="O12" s="236">
        <f>SUM(O5:O10)</f>
        <v>326685</v>
      </c>
      <c r="Q12" s="346"/>
    </row>
    <row r="13" spans="1:26" ht="24.6" customHeight="1" thickTop="1" x14ac:dyDescent="0.25">
      <c r="B13" s="115"/>
      <c r="C13" s="30"/>
      <c r="D13" s="45"/>
      <c r="E13" s="30"/>
      <c r="F13" s="45"/>
      <c r="G13" s="30"/>
      <c r="H13" s="45"/>
      <c r="I13" s="30"/>
      <c r="J13" s="45"/>
      <c r="K13" s="30"/>
      <c r="L13" s="45"/>
      <c r="M13" s="30"/>
      <c r="N13" s="45"/>
      <c r="O13" s="30"/>
      <c r="P13" s="23"/>
      <c r="Q13" s="346"/>
    </row>
    <row r="14" spans="1:26" ht="23.4" customHeight="1" x14ac:dyDescent="0.25">
      <c r="B14" s="115" t="str">
        <f>"Accumulated depreciation at " &amp; TEXT(CurrentYearStart,"d mmmm yyyy")&amp; " - brought forward"</f>
        <v>Accumulated depreciation at 1 April 2018 - brought forward</v>
      </c>
      <c r="C14" s="74">
        <f>'PPE 1'!C37</f>
        <v>0</v>
      </c>
      <c r="D14" s="111"/>
      <c r="E14" s="246">
        <f>+'PPE 1'!E37</f>
        <v>7850</v>
      </c>
      <c r="F14" s="111"/>
      <c r="G14" s="246">
        <v>0</v>
      </c>
      <c r="H14" s="111"/>
      <c r="I14" s="246">
        <f>+'PPE 1'!J37</f>
        <v>36776</v>
      </c>
      <c r="J14" s="111"/>
      <c r="K14" s="246">
        <f>+'PPE 1'!L37</f>
        <v>265</v>
      </c>
      <c r="L14" s="111"/>
      <c r="M14" s="246">
        <f>+'PPE 1'!N37</f>
        <v>10130</v>
      </c>
      <c r="N14" s="111"/>
      <c r="O14" s="237">
        <f>SUM(C14:M14)</f>
        <v>55021</v>
      </c>
      <c r="P14" s="39"/>
      <c r="Q14" s="346"/>
    </row>
    <row r="15" spans="1:26" ht="14.1" customHeight="1" x14ac:dyDescent="0.25">
      <c r="B15" s="137" t="s">
        <v>369</v>
      </c>
      <c r="C15" s="258">
        <v>0</v>
      </c>
      <c r="D15" s="685"/>
      <c r="E15" s="258">
        <v>4255</v>
      </c>
      <c r="F15" s="685"/>
      <c r="G15" s="258">
        <v>0</v>
      </c>
      <c r="H15" s="685"/>
      <c r="I15" s="258">
        <v>5577</v>
      </c>
      <c r="J15" s="685"/>
      <c r="K15" s="258">
        <v>28</v>
      </c>
      <c r="L15" s="685"/>
      <c r="M15" s="258">
        <v>1509</v>
      </c>
      <c r="N15" s="685"/>
      <c r="O15" s="237">
        <f>SUM(C15:M15)</f>
        <v>11369</v>
      </c>
      <c r="Q15" s="346"/>
    </row>
    <row r="16" spans="1:26" ht="14.1" customHeight="1" x14ac:dyDescent="0.25">
      <c r="B16" s="137" t="s">
        <v>242</v>
      </c>
      <c r="C16" s="62">
        <v>0</v>
      </c>
      <c r="D16" s="685"/>
      <c r="E16" s="258">
        <v>-7289</v>
      </c>
      <c r="F16" s="685"/>
      <c r="G16" s="258">
        <v>0</v>
      </c>
      <c r="H16" s="685"/>
      <c r="I16" s="258">
        <v>0</v>
      </c>
      <c r="J16" s="685"/>
      <c r="K16" s="258">
        <v>0</v>
      </c>
      <c r="L16" s="685"/>
      <c r="M16" s="258">
        <v>0</v>
      </c>
      <c r="N16" s="685"/>
      <c r="O16" s="237">
        <f>SUM(C16:M16)</f>
        <v>-7289</v>
      </c>
      <c r="Q16" s="346"/>
    </row>
    <row r="17" spans="1:17" s="903" customFormat="1" ht="14.1" customHeight="1" x14ac:dyDescent="0.25">
      <c r="A17" s="722"/>
      <c r="B17" s="904" t="s">
        <v>1232</v>
      </c>
      <c r="C17" s="670">
        <v>0</v>
      </c>
      <c r="D17" s="685"/>
      <c r="E17" s="670">
        <v>-4785</v>
      </c>
      <c r="F17" s="685"/>
      <c r="G17" s="670"/>
      <c r="H17" s="685"/>
      <c r="I17" s="670"/>
      <c r="J17" s="685"/>
      <c r="K17" s="670"/>
      <c r="L17" s="685"/>
      <c r="M17" s="670"/>
      <c r="N17" s="685"/>
      <c r="O17" s="606">
        <f t="shared" ref="O17" si="1">SUM(C17:M17)</f>
        <v>-4785</v>
      </c>
    </row>
    <row r="18" spans="1:17" ht="14.1" customHeight="1" x14ac:dyDescent="0.25">
      <c r="B18" s="137" t="s">
        <v>368</v>
      </c>
      <c r="C18" s="258">
        <v>0</v>
      </c>
      <c r="D18" s="685"/>
      <c r="E18" s="258">
        <v>-31</v>
      </c>
      <c r="F18" s="685"/>
      <c r="G18" s="258">
        <v>0</v>
      </c>
      <c r="H18" s="685"/>
      <c r="I18" s="258">
        <v>-10131</v>
      </c>
      <c r="J18" s="685"/>
      <c r="K18" s="258">
        <v>-51</v>
      </c>
      <c r="L18" s="685"/>
      <c r="M18" s="258">
        <v>-1429</v>
      </c>
      <c r="N18" s="685"/>
      <c r="O18" s="237">
        <f>SUM(C18:M18)</f>
        <v>-11642</v>
      </c>
      <c r="Q18" s="346"/>
    </row>
    <row r="19" spans="1:17" s="729" customFormat="1" ht="14.1" customHeight="1" x14ac:dyDescent="0.25">
      <c r="A19" s="722"/>
      <c r="B19" s="221"/>
      <c r="C19" s="670"/>
      <c r="D19" s="685"/>
      <c r="E19" s="670"/>
      <c r="F19" s="685"/>
      <c r="G19" s="670"/>
      <c r="H19" s="685"/>
      <c r="I19" s="670"/>
      <c r="J19" s="685"/>
      <c r="K19" s="670"/>
      <c r="L19" s="685"/>
      <c r="M19" s="670"/>
      <c r="N19" s="685"/>
      <c r="O19" s="606"/>
    </row>
    <row r="20" spans="1:17" ht="14.1" customHeight="1" thickBot="1" x14ac:dyDescent="0.3">
      <c r="B20" s="123" t="str">
        <f>"Accumulated depreciation at " &amp; TEXT(CurrentYearEnd, "d mmmm yyyy")</f>
        <v>Accumulated depreciation at 31 March 2019</v>
      </c>
      <c r="C20" s="186">
        <f>SUM(C14:C18)</f>
        <v>0</v>
      </c>
      <c r="D20" s="684"/>
      <c r="E20" s="236">
        <f>SUM(E14:E18)</f>
        <v>0</v>
      </c>
      <c r="F20" s="684"/>
      <c r="G20" s="236">
        <f>SUM(G14:G18)</f>
        <v>0</v>
      </c>
      <c r="H20" s="684"/>
      <c r="I20" s="236">
        <f>SUM(I14:I18)</f>
        <v>32222</v>
      </c>
      <c r="J20" s="684"/>
      <c r="K20" s="236">
        <f>SUM(K14:K18)</f>
        <v>242</v>
      </c>
      <c r="L20" s="684"/>
      <c r="M20" s="236">
        <f>SUM(M14:M18)</f>
        <v>10210</v>
      </c>
      <c r="N20" s="684"/>
      <c r="O20" s="236">
        <f>SUM(O14:O18)</f>
        <v>42674</v>
      </c>
      <c r="Q20" s="346"/>
    </row>
    <row r="21" spans="1:17" ht="14.1" customHeight="1" thickTop="1" x14ac:dyDescent="0.25">
      <c r="B21" s="115"/>
      <c r="C21" s="32"/>
      <c r="D21" s="55"/>
      <c r="E21" s="32"/>
      <c r="F21" s="55"/>
      <c r="G21" s="32"/>
      <c r="H21" s="55"/>
      <c r="I21" s="32"/>
      <c r="J21" s="55"/>
      <c r="K21" s="32"/>
      <c r="L21" s="55"/>
      <c r="M21" s="32"/>
      <c r="N21" s="55"/>
      <c r="O21" s="32"/>
      <c r="Q21" s="26"/>
    </row>
    <row r="22" spans="1:17" ht="14.1" customHeight="1" x14ac:dyDescent="0.25">
      <c r="B22" s="115" t="str">
        <f>"Net book value at "&amp; TEXT(CurrentYearEnd, "d mmmm yyyy")</f>
        <v>Net book value at 31 March 2019</v>
      </c>
      <c r="C22" s="74">
        <f>C12-C20</f>
        <v>9641</v>
      </c>
      <c r="D22" s="111"/>
      <c r="E22" s="74">
        <f>E12-E20</f>
        <v>237920</v>
      </c>
      <c r="F22" s="111"/>
      <c r="G22" s="74">
        <f>G12-G20</f>
        <v>4307</v>
      </c>
      <c r="H22" s="111"/>
      <c r="I22" s="74">
        <f>I12-I20</f>
        <v>25511</v>
      </c>
      <c r="J22" s="111"/>
      <c r="K22" s="74">
        <f>K12-K20</f>
        <v>100</v>
      </c>
      <c r="L22" s="111"/>
      <c r="M22" s="74">
        <f>M12-M20</f>
        <v>6532</v>
      </c>
      <c r="N22" s="111"/>
      <c r="O22" s="237">
        <f>SUM(C22:M22)</f>
        <v>284011</v>
      </c>
      <c r="Q22" s="26"/>
    </row>
    <row r="23" spans="1:17" ht="14.1" customHeight="1" x14ac:dyDescent="0.25">
      <c r="B23" s="115" t="str">
        <f>"Net book value at "&amp; TEXT(CurrentYearStart,"d mmmm yyyy")</f>
        <v>Net book value at 1 April 2018</v>
      </c>
      <c r="C23" s="74">
        <f>C5-C14</f>
        <v>11574</v>
      </c>
      <c r="D23" s="111"/>
      <c r="E23" s="74">
        <f>E5-E14</f>
        <v>231495</v>
      </c>
      <c r="F23" s="111"/>
      <c r="G23" s="74">
        <f>G5-G14</f>
        <v>3876</v>
      </c>
      <c r="H23" s="111"/>
      <c r="I23" s="74">
        <f>I5-I14</f>
        <v>31901</v>
      </c>
      <c r="J23" s="111"/>
      <c r="K23" s="74">
        <f>K5-K14</f>
        <v>65</v>
      </c>
      <c r="L23" s="111"/>
      <c r="M23" s="74">
        <f>M5-M14</f>
        <v>5125</v>
      </c>
      <c r="N23" s="111"/>
      <c r="O23" s="237">
        <f>SUM(C23:M23)</f>
        <v>284036</v>
      </c>
      <c r="Q23" s="26"/>
    </row>
    <row r="24" spans="1:17" ht="14.1" customHeight="1" x14ac:dyDescent="0.2">
      <c r="C24" s="23"/>
      <c r="D24" s="793"/>
      <c r="E24" s="23"/>
      <c r="F24" s="793"/>
      <c r="G24" s="23"/>
      <c r="H24" s="793"/>
      <c r="I24" s="23"/>
      <c r="J24" s="793"/>
      <c r="K24" s="23"/>
      <c r="L24" s="793"/>
      <c r="M24" s="23"/>
      <c r="N24" s="793"/>
      <c r="O24" s="23"/>
      <c r="Q24" s="26"/>
    </row>
    <row r="25" spans="1:17" s="673" customFormat="1" ht="14.1" customHeight="1" x14ac:dyDescent="0.2">
      <c r="A25" s="680"/>
      <c r="C25" s="675"/>
      <c r="D25" s="793"/>
      <c r="E25" s="675"/>
      <c r="F25" s="793"/>
      <c r="G25" s="675"/>
      <c r="H25" s="793"/>
      <c r="I25" s="675"/>
      <c r="J25" s="793"/>
      <c r="K25" s="675"/>
      <c r="L25" s="793"/>
      <c r="M25" s="675"/>
      <c r="N25" s="793"/>
      <c r="O25" s="675"/>
      <c r="Q25" s="676"/>
    </row>
    <row r="26" spans="1:17" s="673" customFormat="1" ht="14.1" customHeight="1" x14ac:dyDescent="0.2">
      <c r="A26" s="680"/>
      <c r="C26" s="675"/>
      <c r="D26" s="793"/>
      <c r="E26" s="675"/>
      <c r="F26" s="793"/>
      <c r="G26" s="675"/>
      <c r="H26" s="793"/>
      <c r="I26" s="675"/>
      <c r="J26" s="793"/>
      <c r="K26" s="675"/>
      <c r="L26" s="793"/>
      <c r="M26" s="675"/>
      <c r="N26" s="793"/>
      <c r="O26" s="675"/>
      <c r="Q26" s="676"/>
    </row>
    <row r="27" spans="1:17" s="673" customFormat="1" ht="14.1" customHeight="1" x14ac:dyDescent="0.2">
      <c r="A27" s="680"/>
      <c r="C27" s="675"/>
      <c r="D27" s="793"/>
      <c r="E27" s="675"/>
      <c r="F27" s="793"/>
      <c r="G27" s="675"/>
      <c r="H27" s="793"/>
      <c r="I27" s="675"/>
      <c r="J27" s="793"/>
      <c r="K27" s="675"/>
      <c r="L27" s="793"/>
      <c r="M27" s="675"/>
      <c r="N27" s="793"/>
      <c r="O27" s="675"/>
      <c r="Q27" s="676"/>
    </row>
    <row r="28" spans="1:17" s="673" customFormat="1" ht="14.1" customHeight="1" x14ac:dyDescent="0.2">
      <c r="A28" s="680"/>
      <c r="C28" s="675"/>
      <c r="D28" s="793"/>
      <c r="E28" s="675"/>
      <c r="F28" s="793"/>
      <c r="G28" s="675"/>
      <c r="H28" s="793"/>
      <c r="I28" s="675"/>
      <c r="J28" s="793"/>
      <c r="K28" s="675"/>
      <c r="L28" s="793"/>
      <c r="M28" s="675"/>
      <c r="N28" s="793"/>
      <c r="O28" s="675"/>
      <c r="Q28" s="676"/>
    </row>
    <row r="29" spans="1:17" s="673" customFormat="1" ht="14.1" customHeight="1" x14ac:dyDescent="0.2">
      <c r="A29" s="680"/>
      <c r="C29" s="675"/>
      <c r="D29" s="793"/>
      <c r="E29" s="675"/>
      <c r="F29" s="793"/>
      <c r="G29" s="675"/>
      <c r="H29" s="793"/>
      <c r="I29" s="675"/>
      <c r="J29" s="793"/>
      <c r="K29" s="675"/>
      <c r="L29" s="793"/>
      <c r="M29" s="675"/>
      <c r="N29" s="793"/>
      <c r="O29" s="675"/>
      <c r="Q29" s="676"/>
    </row>
    <row r="30" spans="1:17" s="673" customFormat="1" ht="14.1" customHeight="1" x14ac:dyDescent="0.2">
      <c r="A30" s="680"/>
      <c r="C30" s="675"/>
      <c r="D30" s="793"/>
      <c r="E30" s="675"/>
      <c r="F30" s="793"/>
      <c r="G30" s="675"/>
      <c r="H30" s="793"/>
      <c r="I30" s="675"/>
      <c r="J30" s="793"/>
      <c r="K30" s="675"/>
      <c r="L30" s="793"/>
      <c r="M30" s="675"/>
      <c r="N30" s="793"/>
      <c r="O30" s="675"/>
      <c r="Q30" s="676"/>
    </row>
    <row r="31" spans="1:17" s="470" customFormat="1" ht="14.1" customHeight="1" x14ac:dyDescent="0.2">
      <c r="A31" s="467"/>
      <c r="C31" s="23"/>
      <c r="D31" s="793"/>
      <c r="E31" s="23"/>
      <c r="F31" s="793"/>
      <c r="G31" s="23"/>
      <c r="H31" s="793"/>
      <c r="I31" s="23"/>
      <c r="J31" s="793"/>
      <c r="K31" s="23"/>
      <c r="L31" s="793"/>
      <c r="M31" s="23"/>
      <c r="N31" s="793"/>
      <c r="O31" s="23"/>
      <c r="Q31" s="473"/>
    </row>
    <row r="32" spans="1:17" s="470" customFormat="1" ht="14.1" customHeight="1" x14ac:dyDescent="0.2">
      <c r="A32" s="467"/>
      <c r="C32" s="23"/>
      <c r="D32" s="793"/>
      <c r="E32" s="23"/>
      <c r="F32" s="793"/>
      <c r="G32" s="23"/>
      <c r="H32" s="793"/>
      <c r="I32" s="23"/>
      <c r="J32" s="793"/>
      <c r="K32" s="23"/>
      <c r="L32" s="793"/>
      <c r="M32" s="23"/>
      <c r="N32" s="793"/>
      <c r="O32" s="23"/>
      <c r="Q32" s="473"/>
    </row>
    <row r="33" spans="1:17" s="470" customFormat="1" ht="14.1" customHeight="1" x14ac:dyDescent="0.25">
      <c r="A33" s="467"/>
      <c r="B33" s="476"/>
      <c r="C33" s="23"/>
      <c r="D33" s="793"/>
      <c r="E33" s="23"/>
      <c r="F33" s="793"/>
      <c r="G33" s="23"/>
      <c r="H33" s="793"/>
      <c r="I33" s="23"/>
      <c r="J33" s="793"/>
      <c r="K33" s="23"/>
      <c r="L33" s="793"/>
      <c r="M33" s="23"/>
      <c r="N33" s="793"/>
      <c r="O33" s="23"/>
      <c r="Q33" s="473"/>
    </row>
    <row r="34" spans="1:17" ht="14.1" customHeight="1" x14ac:dyDescent="0.25">
      <c r="A34" s="52">
        <f>A1+0.1</f>
        <v>14.2</v>
      </c>
      <c r="B34" s="123"/>
      <c r="Q34" s="26"/>
    </row>
    <row r="35" spans="1:17" ht="38.25" customHeight="1" x14ac:dyDescent="0.25">
      <c r="B35" s="745"/>
      <c r="C35" s="136"/>
      <c r="D35" s="136"/>
      <c r="E35" s="136"/>
      <c r="F35" s="136"/>
      <c r="G35" s="136"/>
      <c r="H35" s="136"/>
      <c r="I35" s="136"/>
      <c r="J35" s="136"/>
      <c r="K35" s="136"/>
      <c r="L35" s="136"/>
      <c r="M35" s="136"/>
      <c r="N35" s="136"/>
      <c r="O35" s="136"/>
      <c r="P35" s="679"/>
      <c r="Q35" s="26"/>
    </row>
    <row r="36" spans="1:17" ht="14.1" customHeight="1" x14ac:dyDescent="0.25">
      <c r="B36" s="745"/>
      <c r="C36" s="136"/>
      <c r="D36" s="136"/>
      <c r="E36" s="136"/>
      <c r="F36" s="136"/>
      <c r="G36" s="136"/>
      <c r="H36" s="136"/>
      <c r="I36" s="136"/>
      <c r="J36" s="136"/>
      <c r="K36" s="136"/>
      <c r="L36" s="136"/>
      <c r="M36" s="136"/>
      <c r="N36" s="136"/>
      <c r="O36" s="136"/>
      <c r="P36" s="679"/>
      <c r="Q36" s="26"/>
    </row>
    <row r="37" spans="1:17" ht="24" customHeight="1" x14ac:dyDescent="0.25">
      <c r="B37" s="745"/>
      <c r="C37" s="111"/>
      <c r="D37" s="111"/>
      <c r="E37" s="111"/>
      <c r="F37" s="111"/>
      <c r="G37" s="111"/>
      <c r="H37" s="111"/>
      <c r="I37" s="111"/>
      <c r="J37" s="111"/>
      <c r="K37" s="111"/>
      <c r="L37" s="111"/>
      <c r="M37" s="111"/>
      <c r="N37" s="111"/>
      <c r="O37" s="111"/>
      <c r="P37" s="679"/>
      <c r="Q37" s="26"/>
    </row>
    <row r="38" spans="1:17" ht="14.1" customHeight="1" x14ac:dyDescent="0.25">
      <c r="B38" s="749"/>
      <c r="C38" s="685"/>
      <c r="D38" s="685"/>
      <c r="E38" s="685"/>
      <c r="F38" s="685"/>
      <c r="G38" s="685"/>
      <c r="H38" s="685"/>
      <c r="I38" s="685"/>
      <c r="J38" s="685"/>
      <c r="K38" s="685"/>
      <c r="L38" s="685"/>
      <c r="M38" s="685"/>
      <c r="N38" s="685"/>
      <c r="O38" s="111"/>
      <c r="P38" s="679"/>
      <c r="Q38" s="26"/>
    </row>
    <row r="39" spans="1:17" ht="24" customHeight="1" x14ac:dyDescent="0.25">
      <c r="B39" s="745"/>
      <c r="C39" s="608"/>
      <c r="D39" s="608"/>
      <c r="E39" s="608"/>
      <c r="F39" s="608"/>
      <c r="G39" s="608"/>
      <c r="H39" s="608"/>
      <c r="I39" s="608"/>
      <c r="J39" s="608"/>
      <c r="K39" s="608"/>
      <c r="L39" s="608"/>
      <c r="M39" s="608"/>
      <c r="N39" s="608"/>
      <c r="O39" s="608"/>
      <c r="P39" s="639"/>
      <c r="Q39" s="26"/>
    </row>
    <row r="40" spans="1:17" ht="13.65" hidden="1" customHeight="1" x14ac:dyDescent="0.25">
      <c r="B40" s="745"/>
      <c r="C40" s="111"/>
      <c r="D40" s="111"/>
      <c r="E40" s="111"/>
      <c r="F40" s="111"/>
      <c r="G40" s="111"/>
      <c r="H40" s="111"/>
      <c r="I40" s="111"/>
      <c r="J40" s="111"/>
      <c r="K40" s="111"/>
      <c r="L40" s="111"/>
      <c r="M40" s="111"/>
      <c r="N40" s="111"/>
      <c r="O40" s="111"/>
      <c r="P40" s="679"/>
      <c r="Q40" s="347"/>
    </row>
    <row r="41" spans="1:17" ht="14.1" customHeight="1" x14ac:dyDescent="0.25">
      <c r="B41" s="749"/>
      <c r="C41" s="685"/>
      <c r="D41" s="685"/>
      <c r="E41" s="685"/>
      <c r="F41" s="685"/>
      <c r="G41" s="685"/>
      <c r="H41" s="685"/>
      <c r="I41" s="685"/>
      <c r="J41" s="685"/>
      <c r="K41" s="685"/>
      <c r="L41" s="685"/>
      <c r="M41" s="685"/>
      <c r="N41" s="685"/>
      <c r="O41" s="111"/>
      <c r="P41" s="679"/>
      <c r="Q41" s="347"/>
    </row>
    <row r="42" spans="1:17" ht="14.1" customHeight="1" x14ac:dyDescent="0.25">
      <c r="B42" s="764"/>
      <c r="C42" s="685"/>
      <c r="D42" s="685"/>
      <c r="E42" s="685"/>
      <c r="F42" s="685"/>
      <c r="G42" s="685"/>
      <c r="H42" s="685"/>
      <c r="I42" s="685"/>
      <c r="J42" s="685"/>
      <c r="K42" s="685"/>
      <c r="L42" s="685"/>
      <c r="M42" s="685"/>
      <c r="N42" s="685"/>
      <c r="O42" s="111"/>
      <c r="P42" s="679"/>
      <c r="Q42" s="347"/>
    </row>
    <row r="43" spans="1:17" ht="14.1" customHeight="1" x14ac:dyDescent="0.25">
      <c r="B43" s="749"/>
      <c r="C43" s="685"/>
      <c r="D43" s="685"/>
      <c r="E43" s="685"/>
      <c r="F43" s="685"/>
      <c r="G43" s="685"/>
      <c r="H43" s="685"/>
      <c r="I43" s="685"/>
      <c r="J43" s="685"/>
      <c r="K43" s="685"/>
      <c r="L43" s="685"/>
      <c r="M43" s="685"/>
      <c r="N43" s="685"/>
      <c r="O43" s="111"/>
      <c r="P43" s="679"/>
      <c r="Q43" s="347"/>
    </row>
    <row r="44" spans="1:17" s="679" customFormat="1" ht="14.1" customHeight="1" x14ac:dyDescent="0.25">
      <c r="A44" s="812"/>
      <c r="B44" s="749"/>
      <c r="C44" s="685"/>
      <c r="D44" s="685"/>
      <c r="E44" s="685"/>
      <c r="F44" s="685"/>
      <c r="G44" s="685"/>
      <c r="H44" s="685"/>
      <c r="I44" s="685"/>
      <c r="J44" s="685"/>
      <c r="K44" s="685"/>
      <c r="L44" s="685"/>
      <c r="M44" s="685"/>
      <c r="N44" s="685"/>
      <c r="O44" s="111"/>
      <c r="Q44" s="478"/>
    </row>
    <row r="45" spans="1:17" s="679" customFormat="1" ht="14.1" customHeight="1" x14ac:dyDescent="0.25">
      <c r="A45" s="812"/>
      <c r="B45" s="749"/>
      <c r="C45" s="685"/>
      <c r="D45" s="685"/>
      <c r="E45" s="685"/>
      <c r="F45" s="685"/>
      <c r="G45" s="685"/>
      <c r="H45" s="685"/>
      <c r="I45" s="685"/>
      <c r="J45" s="685"/>
      <c r="K45" s="685"/>
      <c r="L45" s="685"/>
      <c r="M45" s="685"/>
      <c r="N45" s="685"/>
      <c r="O45" s="111"/>
      <c r="Q45" s="478"/>
    </row>
    <row r="46" spans="1:17" s="679" customFormat="1" ht="14.1" customHeight="1" x14ac:dyDescent="0.25">
      <c r="A46" s="812"/>
      <c r="B46" s="749"/>
      <c r="C46" s="685"/>
      <c r="D46" s="685"/>
      <c r="E46" s="685"/>
      <c r="F46" s="685"/>
      <c r="G46" s="685"/>
      <c r="H46" s="685"/>
      <c r="I46" s="685"/>
      <c r="J46" s="685"/>
      <c r="K46" s="685"/>
      <c r="L46" s="685"/>
      <c r="M46" s="685"/>
      <c r="N46" s="685"/>
      <c r="O46" s="111"/>
      <c r="Q46" s="478"/>
    </row>
    <row r="47" spans="1:17" s="679" customFormat="1" ht="13.95" customHeight="1" x14ac:dyDescent="0.25">
      <c r="A47" s="812"/>
      <c r="B47" s="749"/>
      <c r="C47" s="685"/>
      <c r="D47" s="685"/>
      <c r="E47" s="685"/>
      <c r="F47" s="685"/>
      <c r="G47" s="685"/>
      <c r="H47" s="685"/>
      <c r="I47" s="685"/>
      <c r="J47" s="685"/>
      <c r="K47" s="685"/>
      <c r="L47" s="685"/>
      <c r="M47" s="685"/>
      <c r="N47" s="685"/>
      <c r="O47" s="111"/>
      <c r="Q47" s="478"/>
    </row>
    <row r="48" spans="1:17" s="679" customFormat="1" ht="14.1" customHeight="1" x14ac:dyDescent="0.25">
      <c r="A48" s="812"/>
      <c r="B48" s="749"/>
      <c r="C48" s="685"/>
      <c r="D48" s="685"/>
      <c r="E48" s="685"/>
      <c r="F48" s="685"/>
      <c r="G48" s="685"/>
      <c r="H48" s="685"/>
      <c r="I48" s="685"/>
      <c r="J48" s="685"/>
      <c r="K48" s="685"/>
      <c r="L48" s="685"/>
      <c r="M48" s="685"/>
      <c r="N48" s="685"/>
      <c r="O48" s="111"/>
      <c r="Q48" s="478"/>
    </row>
    <row r="49" spans="1:17" s="679" customFormat="1" ht="14.1" hidden="1" customHeight="1" x14ac:dyDescent="0.25">
      <c r="A49" s="812"/>
      <c r="B49" s="813"/>
      <c r="C49" s="685"/>
      <c r="D49" s="685"/>
      <c r="E49" s="685"/>
      <c r="F49" s="685"/>
      <c r="G49" s="685"/>
      <c r="H49" s="685"/>
      <c r="I49" s="685"/>
      <c r="J49" s="685"/>
      <c r="K49" s="685"/>
      <c r="L49" s="685"/>
      <c r="M49" s="685"/>
      <c r="N49" s="685"/>
      <c r="O49" s="111"/>
      <c r="Q49" s="478"/>
    </row>
    <row r="50" spans="1:17" s="679" customFormat="1" ht="14.1" customHeight="1" x14ac:dyDescent="0.25">
      <c r="A50" s="812"/>
      <c r="B50" s="744"/>
      <c r="C50" s="684"/>
      <c r="D50" s="684"/>
      <c r="E50" s="684"/>
      <c r="F50" s="684"/>
      <c r="G50" s="684"/>
      <c r="H50" s="684"/>
      <c r="I50" s="684"/>
      <c r="J50" s="684"/>
      <c r="K50" s="684"/>
      <c r="L50" s="684"/>
      <c r="M50" s="684"/>
      <c r="N50" s="684"/>
      <c r="O50" s="684"/>
      <c r="Q50" s="478"/>
    </row>
    <row r="51" spans="1:17" s="679" customFormat="1" ht="11.25" customHeight="1" x14ac:dyDescent="0.25">
      <c r="A51" s="812"/>
      <c r="B51" s="745"/>
      <c r="C51" s="45"/>
      <c r="D51" s="45"/>
      <c r="E51" s="45"/>
      <c r="F51" s="45"/>
      <c r="G51" s="45"/>
      <c r="H51" s="45"/>
      <c r="I51" s="45"/>
      <c r="J51" s="45"/>
      <c r="K51" s="45"/>
      <c r="L51" s="45"/>
      <c r="M51" s="45"/>
      <c r="N51" s="45"/>
      <c r="O51" s="45"/>
      <c r="Q51" s="478"/>
    </row>
    <row r="52" spans="1:17" s="679" customFormat="1" ht="24.75" customHeight="1" x14ac:dyDescent="0.25">
      <c r="A52" s="812"/>
      <c r="B52" s="745"/>
      <c r="C52" s="111"/>
      <c r="D52" s="111"/>
      <c r="E52" s="111"/>
      <c r="F52" s="111"/>
      <c r="G52" s="111"/>
      <c r="H52" s="111"/>
      <c r="I52" s="111"/>
      <c r="J52" s="111"/>
      <c r="K52" s="111"/>
      <c r="L52" s="111"/>
      <c r="M52" s="111"/>
      <c r="N52" s="111"/>
      <c r="O52" s="111"/>
      <c r="Q52" s="478"/>
    </row>
    <row r="53" spans="1:17" s="679" customFormat="1" ht="14.1" customHeight="1" x14ac:dyDescent="0.25">
      <c r="A53" s="812"/>
      <c r="B53" s="749"/>
      <c r="C53" s="685"/>
      <c r="D53" s="685"/>
      <c r="E53" s="685"/>
      <c r="F53" s="685"/>
      <c r="G53" s="685"/>
      <c r="H53" s="685"/>
      <c r="I53" s="685"/>
      <c r="J53" s="685"/>
      <c r="K53" s="685"/>
      <c r="L53" s="685"/>
      <c r="M53" s="685"/>
      <c r="N53" s="685"/>
      <c r="O53" s="111"/>
      <c r="Q53" s="478"/>
    </row>
    <row r="54" spans="1:17" s="679" customFormat="1" ht="26.7" customHeight="1" x14ac:dyDescent="0.25">
      <c r="A54" s="812"/>
      <c r="B54" s="745"/>
      <c r="C54" s="608"/>
      <c r="D54" s="608"/>
      <c r="E54" s="608"/>
      <c r="F54" s="608"/>
      <c r="G54" s="608"/>
      <c r="H54" s="608"/>
      <c r="I54" s="608"/>
      <c r="J54" s="608"/>
      <c r="K54" s="608"/>
      <c r="L54" s="608"/>
      <c r="M54" s="608"/>
      <c r="N54" s="608"/>
      <c r="O54" s="608"/>
      <c r="Q54" s="478"/>
    </row>
    <row r="55" spans="1:17" s="679" customFormat="1" ht="14.1" hidden="1" customHeight="1" x14ac:dyDescent="0.25">
      <c r="A55" s="812"/>
      <c r="B55" s="745"/>
      <c r="C55" s="111"/>
      <c r="D55" s="111"/>
      <c r="E55" s="111"/>
      <c r="F55" s="111"/>
      <c r="G55" s="111"/>
      <c r="H55" s="111"/>
      <c r="I55" s="111"/>
      <c r="J55" s="111"/>
      <c r="K55" s="111"/>
      <c r="L55" s="111"/>
      <c r="M55" s="111"/>
      <c r="N55" s="111"/>
      <c r="O55" s="111"/>
      <c r="Q55" s="478"/>
    </row>
    <row r="56" spans="1:17" s="679" customFormat="1" ht="14.1" customHeight="1" x14ac:dyDescent="0.25">
      <c r="A56" s="812"/>
      <c r="B56" s="749"/>
      <c r="C56" s="685"/>
      <c r="D56" s="685"/>
      <c r="E56" s="685"/>
      <c r="F56" s="685"/>
      <c r="G56" s="685"/>
      <c r="H56" s="685"/>
      <c r="I56" s="685"/>
      <c r="J56" s="685"/>
      <c r="K56" s="685"/>
      <c r="L56" s="685"/>
      <c r="M56" s="685"/>
      <c r="N56" s="685"/>
      <c r="O56" s="111"/>
      <c r="Q56" s="478"/>
    </row>
    <row r="57" spans="1:17" s="679" customFormat="1" ht="14.1" customHeight="1" x14ac:dyDescent="0.25">
      <c r="A57" s="812"/>
      <c r="B57" s="749"/>
      <c r="C57" s="685"/>
      <c r="D57" s="685"/>
      <c r="E57" s="685"/>
      <c r="F57" s="685"/>
      <c r="G57" s="685"/>
      <c r="H57" s="685"/>
      <c r="I57" s="685"/>
      <c r="J57" s="685"/>
      <c r="K57" s="685"/>
      <c r="L57" s="685"/>
      <c r="M57" s="685"/>
      <c r="N57" s="685"/>
      <c r="O57" s="111"/>
      <c r="Q57" s="478"/>
    </row>
    <row r="58" spans="1:17" s="679" customFormat="1" ht="14.1" customHeight="1" x14ac:dyDescent="0.25">
      <c r="A58" s="812"/>
      <c r="B58" s="749"/>
      <c r="C58" s="685"/>
      <c r="D58" s="685"/>
      <c r="E58" s="685"/>
      <c r="F58" s="685"/>
      <c r="G58" s="685"/>
      <c r="H58" s="685"/>
      <c r="I58" s="685"/>
      <c r="J58" s="685"/>
      <c r="K58" s="685"/>
      <c r="L58" s="685"/>
      <c r="M58" s="685"/>
      <c r="N58" s="685"/>
      <c r="O58" s="111"/>
      <c r="Q58" s="478"/>
    </row>
    <row r="59" spans="1:17" s="679" customFormat="1" ht="14.1" customHeight="1" x14ac:dyDescent="0.25">
      <c r="A59" s="812"/>
      <c r="B59" s="749"/>
      <c r="C59" s="685"/>
      <c r="D59" s="685"/>
      <c r="E59" s="685"/>
      <c r="F59" s="685"/>
      <c r="G59" s="685"/>
      <c r="H59" s="685"/>
      <c r="I59" s="685"/>
      <c r="J59" s="685"/>
      <c r="K59" s="685"/>
      <c r="L59" s="685"/>
      <c r="M59" s="685"/>
      <c r="N59" s="685"/>
      <c r="O59" s="111"/>
      <c r="Q59" s="478"/>
    </row>
    <row r="60" spans="1:17" s="679" customFormat="1" ht="14.1" customHeight="1" x14ac:dyDescent="0.25">
      <c r="A60" s="812"/>
      <c r="B60" s="749"/>
      <c r="C60" s="685"/>
      <c r="D60" s="685"/>
      <c r="E60" s="685"/>
      <c r="F60" s="685"/>
      <c r="G60" s="685"/>
      <c r="H60" s="685"/>
      <c r="I60" s="685"/>
      <c r="J60" s="685"/>
      <c r="K60" s="685"/>
      <c r="L60" s="685"/>
      <c r="M60" s="685"/>
      <c r="N60" s="685"/>
      <c r="O60" s="111"/>
      <c r="Q60" s="478"/>
    </row>
    <row r="61" spans="1:17" ht="14.1" customHeight="1" x14ac:dyDescent="0.25">
      <c r="B61" s="184"/>
      <c r="C61" s="258"/>
      <c r="D61" s="685"/>
      <c r="E61" s="258"/>
      <c r="F61" s="685"/>
      <c r="G61" s="258"/>
      <c r="H61" s="685"/>
      <c r="I61" s="258"/>
      <c r="J61" s="685"/>
      <c r="K61" s="258"/>
      <c r="L61" s="685"/>
      <c r="M61" s="258"/>
      <c r="N61" s="685"/>
      <c r="O61" s="237"/>
      <c r="Q61" s="347"/>
    </row>
    <row r="62" spans="1:17" ht="13.95" customHeight="1" x14ac:dyDescent="0.25">
      <c r="B62" s="184"/>
      <c r="C62" s="258"/>
      <c r="D62" s="685"/>
      <c r="E62" s="258"/>
      <c r="F62" s="685"/>
      <c r="G62" s="258"/>
      <c r="H62" s="685"/>
      <c r="I62" s="258"/>
      <c r="J62" s="685"/>
      <c r="K62" s="258"/>
      <c r="L62" s="685"/>
      <c r="M62" s="258"/>
      <c r="N62" s="685"/>
      <c r="O62" s="237"/>
      <c r="Q62" s="347"/>
    </row>
    <row r="63" spans="1:17" ht="14.1" customHeight="1" x14ac:dyDescent="0.25">
      <c r="B63" s="184"/>
      <c r="C63" s="258"/>
      <c r="D63" s="685"/>
      <c r="E63" s="258"/>
      <c r="F63" s="685"/>
      <c r="G63" s="258"/>
      <c r="H63" s="685"/>
      <c r="I63" s="258"/>
      <c r="J63" s="685"/>
      <c r="K63" s="258"/>
      <c r="L63" s="685"/>
      <c r="M63" s="258"/>
      <c r="N63" s="685"/>
      <c r="O63" s="237"/>
      <c r="Q63" s="347"/>
    </row>
    <row r="64" spans="1:17" s="183" customFormat="1" ht="14.1" hidden="1" customHeight="1" x14ac:dyDescent="0.25">
      <c r="A64" s="52"/>
      <c r="B64" s="221"/>
      <c r="C64" s="258"/>
      <c r="D64" s="685"/>
      <c r="E64" s="258"/>
      <c r="F64" s="685"/>
      <c r="G64" s="258"/>
      <c r="H64" s="685"/>
      <c r="I64" s="258"/>
      <c r="J64" s="685"/>
      <c r="K64" s="258"/>
      <c r="L64" s="685"/>
      <c r="M64" s="258"/>
      <c r="N64" s="685"/>
      <c r="O64" s="237"/>
      <c r="Q64" s="347"/>
    </row>
    <row r="65" spans="2:18" ht="14.1" customHeight="1" thickBot="1" x14ac:dyDescent="0.3">
      <c r="B65" s="123"/>
      <c r="C65" s="186"/>
      <c r="D65" s="684"/>
      <c r="E65" s="236"/>
      <c r="F65" s="684"/>
      <c r="G65" s="236"/>
      <c r="H65" s="684"/>
      <c r="I65" s="236"/>
      <c r="J65" s="684"/>
      <c r="K65" s="236"/>
      <c r="L65" s="684"/>
      <c r="M65" s="236"/>
      <c r="N65" s="684"/>
      <c r="O65" s="236"/>
      <c r="Q65" s="347"/>
      <c r="R65" s="26"/>
    </row>
    <row r="66" spans="2:18" ht="10.5" customHeight="1" thickTop="1" x14ac:dyDescent="0.25">
      <c r="B66" s="115"/>
      <c r="Q66" s="26"/>
      <c r="R66" s="26"/>
    </row>
    <row r="67" spans="2:18" ht="14.1" customHeight="1" x14ac:dyDescent="0.25">
      <c r="B67" s="115"/>
      <c r="C67" s="74"/>
      <c r="D67" s="111"/>
      <c r="E67" s="74"/>
      <c r="F67" s="111"/>
      <c r="G67" s="74"/>
      <c r="H67" s="111"/>
      <c r="I67" s="74"/>
      <c r="J67" s="111"/>
      <c r="K67" s="74"/>
      <c r="L67" s="111"/>
      <c r="M67" s="74"/>
      <c r="N67" s="111"/>
      <c r="O67" s="237"/>
      <c r="P67" s="23"/>
      <c r="Q67" s="218"/>
      <c r="R67" s="26"/>
    </row>
    <row r="68" spans="2:18" ht="14.1" customHeight="1" x14ac:dyDescent="0.25">
      <c r="B68" s="115"/>
      <c r="C68" s="74"/>
      <c r="D68" s="111"/>
      <c r="E68" s="74"/>
      <c r="F68" s="111"/>
      <c r="G68" s="74"/>
      <c r="H68" s="111"/>
      <c r="I68" s="74"/>
      <c r="J68" s="111"/>
      <c r="K68" s="74"/>
      <c r="L68" s="111"/>
      <c r="M68" s="74"/>
      <c r="N68" s="111"/>
      <c r="O68" s="237"/>
      <c r="P68" s="23"/>
      <c r="Q68" s="218"/>
      <c r="R68" s="26"/>
    </row>
    <row r="69" spans="2:18" ht="14.1" customHeight="1" x14ac:dyDescent="0.2">
      <c r="C69" s="23"/>
      <c r="D69" s="793"/>
      <c r="E69" s="23"/>
      <c r="F69" s="793"/>
      <c r="G69" s="23"/>
      <c r="H69" s="793"/>
      <c r="I69" s="23"/>
      <c r="J69" s="793"/>
      <c r="K69" s="23"/>
      <c r="L69" s="793"/>
      <c r="M69" s="23"/>
      <c r="N69" s="793"/>
      <c r="O69" s="23"/>
      <c r="P69" s="23"/>
      <c r="Q69" s="46"/>
      <c r="R69" s="26"/>
    </row>
    <row r="70" spans="2:18" ht="14.1" customHeight="1" x14ac:dyDescent="0.2">
      <c r="C70" s="23"/>
      <c r="D70" s="793"/>
      <c r="E70" s="23"/>
      <c r="F70" s="793"/>
      <c r="G70" s="23"/>
      <c r="H70" s="793"/>
      <c r="I70" s="23"/>
      <c r="J70" s="793"/>
      <c r="K70" s="23"/>
      <c r="L70" s="793"/>
      <c r="M70" s="23"/>
      <c r="N70" s="793"/>
      <c r="O70" s="23"/>
      <c r="P70" s="23"/>
      <c r="Q70" s="46"/>
      <c r="R70" s="26"/>
    </row>
    <row r="71" spans="2:18" ht="14.1" customHeight="1" x14ac:dyDescent="0.2">
      <c r="C71" s="23"/>
      <c r="D71" s="793"/>
      <c r="E71" s="23"/>
      <c r="F71" s="793"/>
      <c r="G71" s="23"/>
      <c r="H71" s="793"/>
      <c r="I71" s="23"/>
      <c r="J71" s="793"/>
      <c r="K71" s="23"/>
      <c r="L71" s="793"/>
      <c r="M71" s="23"/>
      <c r="N71" s="793"/>
      <c r="O71" s="23"/>
      <c r="P71" s="23"/>
      <c r="Q71" s="46"/>
      <c r="R71" s="26"/>
    </row>
    <row r="72" spans="2:18" ht="14.1" customHeight="1" x14ac:dyDescent="0.2">
      <c r="C72" s="23"/>
      <c r="D72" s="793"/>
      <c r="E72" s="23"/>
      <c r="F72" s="793"/>
      <c r="G72" s="23"/>
      <c r="H72" s="793"/>
      <c r="I72" s="23"/>
      <c r="J72" s="793"/>
      <c r="K72" s="23"/>
      <c r="L72" s="793"/>
      <c r="M72" s="23"/>
      <c r="N72" s="793"/>
      <c r="O72" s="23"/>
      <c r="P72" s="23"/>
      <c r="Q72" s="23"/>
    </row>
  </sheetData>
  <customSheetViews>
    <customSheetView guid="{EDC1BD6E-863A-4FC6-A3A9-F32079F4F0C1}">
      <selection activeCell="O30" sqref="O30"/>
      <pageMargins left="0.25" right="0.25" top="0.75" bottom="0.75" header="0.3" footer="0.3"/>
      <pageSetup paperSize="9" orientation="landscape" verticalDpi="0" r:id="rId1"/>
    </customSheetView>
  </customSheetViews>
  <pageMargins left="0.70866141732283472" right="0.70866141732283472" top="0.74803149606299213" bottom="0.74803149606299213" header="0.31496062992125984" footer="0.31496062992125984"/>
  <pageSetup paperSize="9" fitToHeight="0" orientation="landscape" r:id="rId2"/>
  <headerFooter>
    <oddHeader>&amp;C&amp;10Hull University Teaching Hospitals NHS Trust - Annual Accounts 2018/19</oddHeader>
    <oddFooter>&amp;C&amp;10Page &amp;P</oddFooter>
  </headerFooter>
  <rowBreaks count="1" manualBreakCount="1">
    <brk id="33"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T45"/>
  <sheetViews>
    <sheetView zoomScaleNormal="100" zoomScaleSheetLayoutView="90" workbookViewId="0">
      <selection activeCell="B30" sqref="B30:F32"/>
    </sheetView>
  </sheetViews>
  <sheetFormatPr defaultColWidth="9.109375" defaultRowHeight="14.1" customHeight="1" x14ac:dyDescent="0.2"/>
  <cols>
    <col min="1" max="1" width="0.88671875" style="467" customWidth="1"/>
    <col min="2" max="2" width="35.88671875" style="470" customWidth="1"/>
    <col min="3" max="3" width="8.6640625" style="470" customWidth="1"/>
    <col min="4" max="4" width="2.6640625" style="679" customWidth="1"/>
    <col min="5" max="5" width="8.6640625" style="470" customWidth="1"/>
    <col min="6" max="6" width="10" style="470" hidden="1" customWidth="1"/>
    <col min="7" max="7" width="2.6640625" style="679" customWidth="1"/>
    <col min="8" max="8" width="10.5546875" style="470" customWidth="1"/>
    <col min="9" max="9" width="2.6640625" style="679" customWidth="1"/>
    <col min="10" max="10" width="8.6640625" style="470" customWidth="1"/>
    <col min="11" max="11" width="2.6640625" style="679" customWidth="1"/>
    <col min="12" max="12" width="9.109375" style="470" customWidth="1"/>
    <col min="13" max="13" width="2.6640625" style="679" customWidth="1"/>
    <col min="14" max="14" width="9.88671875" style="470" customWidth="1"/>
    <col min="15" max="15" width="3.109375" style="470" hidden="1" customWidth="1"/>
    <col min="16" max="16" width="2.6640625" style="679" customWidth="1"/>
    <col min="17" max="17" width="8.6640625" style="470" customWidth="1"/>
    <col min="18" max="16384" width="9.109375" style="470"/>
  </cols>
  <sheetData>
    <row r="1" spans="1:19" ht="14.1" customHeight="1" x14ac:dyDescent="0.25">
      <c r="A1" s="467">
        <f>PPE!A1+0.1</f>
        <v>14.2</v>
      </c>
      <c r="B1" s="475" t="str">
        <f>"Note "&amp; A1&amp; " Property, plant and equipment - " &amp; ComparativeFY</f>
        <v>Note 14.2 Property, plant and equipment - 2017/18</v>
      </c>
      <c r="S1" s="473"/>
    </row>
    <row r="2" spans="1:19" s="767" customFormat="1" ht="14.1" customHeight="1" x14ac:dyDescent="0.25">
      <c r="A2" s="722"/>
      <c r="B2" s="781"/>
      <c r="D2" s="679"/>
      <c r="G2" s="679"/>
      <c r="I2" s="679"/>
      <c r="K2" s="679"/>
      <c r="M2" s="679"/>
      <c r="P2" s="679"/>
      <c r="S2" s="676"/>
    </row>
    <row r="3" spans="1:19" ht="96" x14ac:dyDescent="0.25">
      <c r="B3" s="471"/>
      <c r="C3" s="474" t="s">
        <v>361</v>
      </c>
      <c r="D3" s="136"/>
      <c r="E3" s="474" t="s">
        <v>362</v>
      </c>
      <c r="F3" s="474" t="s">
        <v>363</v>
      </c>
      <c r="G3" s="136"/>
      <c r="H3" s="474" t="s">
        <v>475</v>
      </c>
      <c r="I3" s="136"/>
      <c r="J3" s="474" t="s">
        <v>364</v>
      </c>
      <c r="K3" s="136"/>
      <c r="L3" s="474" t="s">
        <v>365</v>
      </c>
      <c r="M3" s="136"/>
      <c r="N3" s="474" t="s">
        <v>372</v>
      </c>
      <c r="O3" s="474" t="s">
        <v>366</v>
      </c>
      <c r="P3" s="136"/>
      <c r="Q3" s="474" t="s">
        <v>360</v>
      </c>
      <c r="S3" s="473"/>
    </row>
    <row r="4" spans="1:19" ht="14.1" customHeight="1" x14ac:dyDescent="0.25">
      <c r="B4" s="471"/>
      <c r="C4" s="474" t="s">
        <v>283</v>
      </c>
      <c r="D4" s="136"/>
      <c r="E4" s="474" t="s">
        <v>283</v>
      </c>
      <c r="F4" s="474" t="s">
        <v>250</v>
      </c>
      <c r="G4" s="136"/>
      <c r="H4" s="474" t="s">
        <v>250</v>
      </c>
      <c r="I4" s="136"/>
      <c r="J4" s="474" t="s">
        <v>250</v>
      </c>
      <c r="K4" s="136"/>
      <c r="L4" s="474" t="s">
        <v>250</v>
      </c>
      <c r="M4" s="136"/>
      <c r="N4" s="474" t="s">
        <v>250</v>
      </c>
      <c r="O4" s="474" t="s">
        <v>250</v>
      </c>
      <c r="P4" s="136"/>
      <c r="Q4" s="474" t="s">
        <v>283</v>
      </c>
      <c r="S4" s="473"/>
    </row>
    <row r="5" spans="1:19" ht="24" hidden="1" customHeight="1" x14ac:dyDescent="0.25">
      <c r="B5" s="471" t="str">
        <f>"Valuation / gross cost at " &amp; TEXT(ComparativeYearStart, "d mmmm yyyy") &amp; " - as previously stated"</f>
        <v>Valuation / gross cost at 1 April 2017 - as previously stated</v>
      </c>
      <c r="C5" s="454">
        <v>11741</v>
      </c>
      <c r="D5" s="111"/>
      <c r="E5" s="454">
        <v>229326</v>
      </c>
      <c r="F5" s="454">
        <v>0</v>
      </c>
      <c r="G5" s="111"/>
      <c r="H5" s="454">
        <v>2803</v>
      </c>
      <c r="I5" s="111"/>
      <c r="J5" s="454">
        <v>63615</v>
      </c>
      <c r="K5" s="111"/>
      <c r="L5" s="454">
        <v>350</v>
      </c>
      <c r="M5" s="111"/>
      <c r="N5" s="454">
        <v>13193</v>
      </c>
      <c r="O5" s="454">
        <v>0</v>
      </c>
      <c r="P5" s="111"/>
      <c r="Q5" s="454">
        <f t="shared" ref="Q5:Q6" si="0">SUM(C5:O5)</f>
        <v>321028</v>
      </c>
      <c r="S5" s="473"/>
    </row>
    <row r="6" spans="1:19" ht="14.1" hidden="1" customHeight="1" x14ac:dyDescent="0.25">
      <c r="B6" s="472" t="s">
        <v>370</v>
      </c>
      <c r="C6" s="468">
        <v>0</v>
      </c>
      <c r="D6" s="685"/>
      <c r="E6" s="468">
        <v>0</v>
      </c>
      <c r="F6" s="468">
        <v>0</v>
      </c>
      <c r="G6" s="685"/>
      <c r="H6" s="468">
        <v>0</v>
      </c>
      <c r="I6" s="685"/>
      <c r="J6" s="468">
        <v>0</v>
      </c>
      <c r="K6" s="685"/>
      <c r="L6" s="468">
        <v>0</v>
      </c>
      <c r="M6" s="685"/>
      <c r="N6" s="468">
        <v>0</v>
      </c>
      <c r="O6" s="468">
        <v>0</v>
      </c>
      <c r="P6" s="685"/>
      <c r="Q6" s="454">
        <f t="shared" si="0"/>
        <v>0</v>
      </c>
      <c r="S6" s="473"/>
    </row>
    <row r="7" spans="1:19" s="729" customFormat="1" ht="14.1" customHeight="1" x14ac:dyDescent="0.25">
      <c r="A7" s="722"/>
      <c r="B7" s="739"/>
      <c r="C7" s="670"/>
      <c r="D7" s="685"/>
      <c r="E7" s="670"/>
      <c r="F7" s="670"/>
      <c r="G7" s="685"/>
      <c r="H7" s="670"/>
      <c r="I7" s="685"/>
      <c r="J7" s="670"/>
      <c r="K7" s="685"/>
      <c r="L7" s="670"/>
      <c r="M7" s="685"/>
      <c r="N7" s="670"/>
      <c r="O7" s="670"/>
      <c r="P7" s="685"/>
      <c r="Q7" s="606"/>
      <c r="S7" s="676"/>
    </row>
    <row r="8" spans="1:19" ht="24" customHeight="1" x14ac:dyDescent="0.25">
      <c r="B8" s="471" t="str">
        <f>"Valuation / gross cost at " &amp; TEXT(ComparativeYearStart, "d mmmm yyyy") &amp; " "</f>
        <v xml:space="preserve">Valuation / gross cost at 1 April 2017 </v>
      </c>
      <c r="C8" s="608">
        <f>SUM(C5:C6)</f>
        <v>11741</v>
      </c>
      <c r="D8" s="608"/>
      <c r="E8" s="608">
        <f t="shared" ref="E8:Q8" si="1">SUM(E5:E6)</f>
        <v>229326</v>
      </c>
      <c r="F8" s="608">
        <f t="shared" si="1"/>
        <v>0</v>
      </c>
      <c r="G8" s="608"/>
      <c r="H8" s="608">
        <f t="shared" si="1"/>
        <v>2803</v>
      </c>
      <c r="I8" s="608"/>
      <c r="J8" s="608">
        <f t="shared" si="1"/>
        <v>63615</v>
      </c>
      <c r="K8" s="608"/>
      <c r="L8" s="608">
        <f t="shared" si="1"/>
        <v>350</v>
      </c>
      <c r="M8" s="608"/>
      <c r="N8" s="608">
        <f t="shared" si="1"/>
        <v>13193</v>
      </c>
      <c r="O8" s="608">
        <f t="shared" si="1"/>
        <v>0</v>
      </c>
      <c r="P8" s="608"/>
      <c r="Q8" s="608">
        <f t="shared" si="1"/>
        <v>321028</v>
      </c>
      <c r="R8" s="40"/>
      <c r="S8" s="473"/>
    </row>
    <row r="9" spans="1:19" ht="13.65" hidden="1" customHeight="1" x14ac:dyDescent="0.25">
      <c r="B9" s="471" t="s">
        <v>657</v>
      </c>
      <c r="C9" s="454">
        <v>0</v>
      </c>
      <c r="D9" s="111"/>
      <c r="E9" s="454">
        <v>0</v>
      </c>
      <c r="F9" s="454">
        <v>0</v>
      </c>
      <c r="G9" s="111"/>
      <c r="H9" s="454">
        <v>0</v>
      </c>
      <c r="I9" s="111"/>
      <c r="J9" s="454">
        <v>0</v>
      </c>
      <c r="K9" s="111"/>
      <c r="L9" s="454">
        <v>0</v>
      </c>
      <c r="M9" s="111"/>
      <c r="N9" s="454">
        <v>0</v>
      </c>
      <c r="O9" s="454">
        <v>0</v>
      </c>
      <c r="P9" s="111"/>
      <c r="Q9" s="454">
        <f t="shared" ref="Q9:Q17" si="2">SUM(C9:O9)</f>
        <v>0</v>
      </c>
      <c r="S9" s="473"/>
    </row>
    <row r="10" spans="1:19" ht="14.1" hidden="1" customHeight="1" x14ac:dyDescent="0.25">
      <c r="B10" s="472" t="s">
        <v>371</v>
      </c>
      <c r="C10" s="468">
        <v>0</v>
      </c>
      <c r="D10" s="685"/>
      <c r="E10" s="468">
        <v>0</v>
      </c>
      <c r="F10" s="468">
        <v>0</v>
      </c>
      <c r="G10" s="685"/>
      <c r="H10" s="468">
        <v>0</v>
      </c>
      <c r="I10" s="685"/>
      <c r="J10" s="468">
        <v>0</v>
      </c>
      <c r="K10" s="685"/>
      <c r="L10" s="468">
        <v>0</v>
      </c>
      <c r="M10" s="685"/>
      <c r="N10" s="468">
        <v>0</v>
      </c>
      <c r="O10" s="468">
        <v>0</v>
      </c>
      <c r="P10" s="685"/>
      <c r="Q10" s="454">
        <f t="shared" si="2"/>
        <v>0</v>
      </c>
      <c r="S10" s="473"/>
    </row>
    <row r="11" spans="1:19" ht="14.1" customHeight="1" x14ac:dyDescent="0.25">
      <c r="B11" s="163" t="s">
        <v>465</v>
      </c>
      <c r="C11" s="468">
        <v>0</v>
      </c>
      <c r="D11" s="685"/>
      <c r="E11" s="468">
        <v>0</v>
      </c>
      <c r="F11" s="468">
        <v>0</v>
      </c>
      <c r="G11" s="685"/>
      <c r="H11" s="468">
        <v>11092</v>
      </c>
      <c r="I11" s="685"/>
      <c r="J11" s="468">
        <v>5440</v>
      </c>
      <c r="K11" s="685"/>
      <c r="L11" s="468">
        <v>0</v>
      </c>
      <c r="M11" s="685"/>
      <c r="N11" s="468">
        <v>2062</v>
      </c>
      <c r="O11" s="468">
        <v>0</v>
      </c>
      <c r="P11" s="685"/>
      <c r="Q11" s="454">
        <f t="shared" si="2"/>
        <v>18594</v>
      </c>
      <c r="S11" s="473"/>
    </row>
    <row r="12" spans="1:19" ht="14.1" hidden="1" customHeight="1" x14ac:dyDescent="0.25">
      <c r="B12" s="472" t="s">
        <v>242</v>
      </c>
      <c r="C12" s="468">
        <v>0</v>
      </c>
      <c r="D12" s="685"/>
      <c r="E12" s="468">
        <v>0</v>
      </c>
      <c r="F12" s="468">
        <v>0</v>
      </c>
      <c r="G12" s="685"/>
      <c r="H12" s="468">
        <v>0</v>
      </c>
      <c r="I12" s="685"/>
      <c r="J12" s="468">
        <v>0</v>
      </c>
      <c r="K12" s="685"/>
      <c r="L12" s="468">
        <v>0</v>
      </c>
      <c r="M12" s="685"/>
      <c r="N12" s="468">
        <v>0</v>
      </c>
      <c r="O12" s="468">
        <v>0</v>
      </c>
      <c r="P12" s="685"/>
      <c r="Q12" s="454">
        <f t="shared" si="2"/>
        <v>0</v>
      </c>
      <c r="S12" s="473"/>
    </row>
    <row r="13" spans="1:19" ht="14.1" hidden="1" customHeight="1" x14ac:dyDescent="0.25">
      <c r="B13" s="472" t="s">
        <v>473</v>
      </c>
      <c r="C13" s="468">
        <v>0</v>
      </c>
      <c r="D13" s="685"/>
      <c r="E13" s="468">
        <v>0</v>
      </c>
      <c r="F13" s="468">
        <v>0</v>
      </c>
      <c r="G13" s="685"/>
      <c r="H13" s="468">
        <v>0</v>
      </c>
      <c r="I13" s="685"/>
      <c r="J13" s="468">
        <v>0</v>
      </c>
      <c r="K13" s="685"/>
      <c r="L13" s="468">
        <v>0</v>
      </c>
      <c r="M13" s="685"/>
      <c r="N13" s="468">
        <v>0</v>
      </c>
      <c r="O13" s="468">
        <v>0</v>
      </c>
      <c r="P13" s="685"/>
      <c r="Q13" s="454">
        <f t="shared" si="2"/>
        <v>0</v>
      </c>
      <c r="S13" s="473"/>
    </row>
    <row r="14" spans="1:19" ht="14.1" hidden="1" customHeight="1" x14ac:dyDescent="0.25">
      <c r="B14" s="472" t="s">
        <v>287</v>
      </c>
      <c r="C14" s="468">
        <v>0</v>
      </c>
      <c r="D14" s="685"/>
      <c r="E14" s="468">
        <v>0</v>
      </c>
      <c r="F14" s="468">
        <v>0</v>
      </c>
      <c r="G14" s="685"/>
      <c r="H14" s="468">
        <v>0</v>
      </c>
      <c r="I14" s="685"/>
      <c r="J14" s="468">
        <v>0</v>
      </c>
      <c r="K14" s="685"/>
      <c r="L14" s="468">
        <v>0</v>
      </c>
      <c r="M14" s="685"/>
      <c r="N14" s="468">
        <v>0</v>
      </c>
      <c r="O14" s="468">
        <v>0</v>
      </c>
      <c r="P14" s="685"/>
      <c r="Q14" s="454">
        <f t="shared" si="2"/>
        <v>0</v>
      </c>
      <c r="S14" s="473"/>
    </row>
    <row r="15" spans="1:19" ht="14.1" customHeight="1" x14ac:dyDescent="0.25">
      <c r="B15" s="472" t="s">
        <v>367</v>
      </c>
      <c r="C15" s="468">
        <v>0</v>
      </c>
      <c r="D15" s="685"/>
      <c r="E15" s="468">
        <v>10019</v>
      </c>
      <c r="F15" s="468">
        <v>0</v>
      </c>
      <c r="G15" s="685"/>
      <c r="H15" s="468">
        <v>-10019</v>
      </c>
      <c r="I15" s="685"/>
      <c r="J15" s="468">
        <v>0</v>
      </c>
      <c r="K15" s="685"/>
      <c r="L15" s="468">
        <v>0</v>
      </c>
      <c r="M15" s="685"/>
      <c r="N15" s="468">
        <v>0</v>
      </c>
      <c r="O15" s="468">
        <v>0</v>
      </c>
      <c r="P15" s="685"/>
      <c r="Q15" s="454">
        <f t="shared" si="2"/>
        <v>0</v>
      </c>
      <c r="S15" s="473"/>
    </row>
    <row r="16" spans="1:19" ht="14.1" customHeight="1" x14ac:dyDescent="0.25">
      <c r="B16" s="472" t="s">
        <v>368</v>
      </c>
      <c r="C16" s="468">
        <v>-167</v>
      </c>
      <c r="D16" s="685"/>
      <c r="E16" s="468">
        <v>0</v>
      </c>
      <c r="F16" s="468">
        <v>0</v>
      </c>
      <c r="G16" s="685"/>
      <c r="H16" s="468">
        <v>0</v>
      </c>
      <c r="I16" s="685"/>
      <c r="J16" s="468">
        <v>-378</v>
      </c>
      <c r="K16" s="685"/>
      <c r="L16" s="468">
        <v>-20</v>
      </c>
      <c r="M16" s="685"/>
      <c r="N16" s="468">
        <v>0</v>
      </c>
      <c r="O16" s="468">
        <v>0</v>
      </c>
      <c r="P16" s="685"/>
      <c r="Q16" s="454">
        <f t="shared" si="2"/>
        <v>-565</v>
      </c>
      <c r="S16" s="473"/>
    </row>
    <row r="17" spans="1:19" ht="14.1" hidden="1" customHeight="1" x14ac:dyDescent="0.25">
      <c r="B17" s="221" t="s">
        <v>604</v>
      </c>
      <c r="C17" s="468">
        <v>0</v>
      </c>
      <c r="D17" s="685"/>
      <c r="E17" s="468">
        <v>0</v>
      </c>
      <c r="F17" s="468">
        <v>0</v>
      </c>
      <c r="G17" s="685"/>
      <c r="H17" s="468">
        <v>0</v>
      </c>
      <c r="I17" s="685"/>
      <c r="J17" s="468">
        <v>0</v>
      </c>
      <c r="K17" s="685"/>
      <c r="L17" s="468">
        <v>0</v>
      </c>
      <c r="M17" s="685"/>
      <c r="N17" s="468">
        <v>0</v>
      </c>
      <c r="O17" s="468">
        <v>0</v>
      </c>
      <c r="P17" s="685"/>
      <c r="Q17" s="454">
        <f t="shared" si="2"/>
        <v>0</v>
      </c>
      <c r="S17" s="473"/>
    </row>
    <row r="18" spans="1:19" s="729" customFormat="1" ht="14.1" customHeight="1" x14ac:dyDescent="0.25">
      <c r="A18" s="722"/>
      <c r="B18" s="221"/>
      <c r="C18" s="670"/>
      <c r="D18" s="685"/>
      <c r="E18" s="670"/>
      <c r="F18" s="670"/>
      <c r="G18" s="685"/>
      <c r="H18" s="670"/>
      <c r="I18" s="685"/>
      <c r="J18" s="670"/>
      <c r="K18" s="685"/>
      <c r="L18" s="670"/>
      <c r="M18" s="685"/>
      <c r="N18" s="670"/>
      <c r="O18" s="670"/>
      <c r="P18" s="685"/>
      <c r="Q18" s="606"/>
      <c r="S18" s="676"/>
    </row>
    <row r="19" spans="1:19" ht="14.1" customHeight="1" thickBot="1" x14ac:dyDescent="0.3">
      <c r="B19" s="475" t="str">
        <f>"Valuation/gross cost at " &amp; TEXT(ComparativeYearEnd, "d mmmm yyyy")</f>
        <v>Valuation/gross cost at 31 March 2018</v>
      </c>
      <c r="C19" s="453">
        <f>SUM(C8:C17)</f>
        <v>11574</v>
      </c>
      <c r="D19" s="684"/>
      <c r="E19" s="453">
        <f>SUM(E8:E17)</f>
        <v>239345</v>
      </c>
      <c r="F19" s="453">
        <f>SUM(F8:F17)</f>
        <v>0</v>
      </c>
      <c r="G19" s="684"/>
      <c r="H19" s="453">
        <f>SUM(H8:H17)</f>
        <v>3876</v>
      </c>
      <c r="I19" s="684"/>
      <c r="J19" s="453">
        <f>SUM(J8:J17)</f>
        <v>68677</v>
      </c>
      <c r="K19" s="684"/>
      <c r="L19" s="453">
        <f>SUM(L8:L17)</f>
        <v>330</v>
      </c>
      <c r="M19" s="684"/>
      <c r="N19" s="453">
        <f>SUM(N8:N17)</f>
        <v>15255</v>
      </c>
      <c r="O19" s="453">
        <f>SUM(O8:O17)</f>
        <v>0</v>
      </c>
      <c r="P19" s="684"/>
      <c r="Q19" s="453">
        <f>SUM(Q8:Q17)</f>
        <v>339057</v>
      </c>
      <c r="S19" s="473"/>
    </row>
    <row r="20" spans="1:19" ht="8.4" customHeight="1" thickTop="1" x14ac:dyDescent="0.25">
      <c r="B20" s="471"/>
      <c r="C20" s="448"/>
      <c r="D20" s="45"/>
      <c r="E20" s="448"/>
      <c r="F20" s="448"/>
      <c r="G20" s="45"/>
      <c r="H20" s="448"/>
      <c r="I20" s="45"/>
      <c r="J20" s="448"/>
      <c r="K20" s="45"/>
      <c r="L20" s="448"/>
      <c r="M20" s="45"/>
      <c r="N20" s="448"/>
      <c r="O20" s="448"/>
      <c r="P20" s="45"/>
      <c r="Q20" s="448"/>
      <c r="S20" s="473"/>
    </row>
    <row r="21" spans="1:19" ht="23.4" hidden="1" customHeight="1" x14ac:dyDescent="0.25">
      <c r="B21" s="471" t="str">
        <f>"Accumulated depreciation at " &amp; TEXT(ComparativeYearStart, "d mmmm yyyy") &amp; " - as previously stated"</f>
        <v>Accumulated depreciation at 1 April 2017 - as previously stated</v>
      </c>
      <c r="C21" s="454">
        <v>0</v>
      </c>
      <c r="D21" s="111"/>
      <c r="E21" s="454">
        <v>3802</v>
      </c>
      <c r="F21" s="454">
        <v>0</v>
      </c>
      <c r="G21" s="111"/>
      <c r="H21" s="454">
        <v>0</v>
      </c>
      <c r="I21" s="111"/>
      <c r="J21" s="454">
        <v>31356</v>
      </c>
      <c r="K21" s="111"/>
      <c r="L21" s="454">
        <v>262</v>
      </c>
      <c r="M21" s="111"/>
      <c r="N21" s="454">
        <v>8888</v>
      </c>
      <c r="O21" s="454">
        <v>0</v>
      </c>
      <c r="P21" s="111"/>
      <c r="Q21" s="454">
        <f t="shared" ref="Q21:Q22" si="3">SUM(C21:O21)</f>
        <v>44308</v>
      </c>
      <c r="S21" s="473"/>
    </row>
    <row r="22" spans="1:19" ht="14.1" hidden="1" customHeight="1" x14ac:dyDescent="0.25">
      <c r="B22" s="472" t="s">
        <v>370</v>
      </c>
      <c r="C22" s="468">
        <v>0</v>
      </c>
      <c r="D22" s="685"/>
      <c r="E22" s="468">
        <v>0</v>
      </c>
      <c r="F22" s="468">
        <v>0</v>
      </c>
      <c r="G22" s="685"/>
      <c r="H22" s="468">
        <v>0</v>
      </c>
      <c r="I22" s="685"/>
      <c r="J22" s="468">
        <v>0</v>
      </c>
      <c r="K22" s="685"/>
      <c r="L22" s="468">
        <v>0</v>
      </c>
      <c r="M22" s="685"/>
      <c r="N22" s="468">
        <v>0</v>
      </c>
      <c r="O22" s="468">
        <v>0</v>
      </c>
      <c r="P22" s="685"/>
      <c r="Q22" s="454">
        <f t="shared" si="3"/>
        <v>0</v>
      </c>
      <c r="S22" s="473"/>
    </row>
    <row r="23" spans="1:19" s="729" customFormat="1" ht="14.1" customHeight="1" x14ac:dyDescent="0.25">
      <c r="A23" s="722"/>
      <c r="B23" s="739"/>
      <c r="C23" s="670"/>
      <c r="D23" s="685"/>
      <c r="E23" s="670"/>
      <c r="F23" s="670"/>
      <c r="G23" s="685"/>
      <c r="H23" s="670"/>
      <c r="I23" s="685"/>
      <c r="J23" s="670"/>
      <c r="K23" s="685"/>
      <c r="L23" s="670"/>
      <c r="M23" s="685"/>
      <c r="N23" s="670"/>
      <c r="O23" s="670"/>
      <c r="P23" s="685"/>
      <c r="Q23" s="606"/>
      <c r="S23" s="676"/>
    </row>
    <row r="24" spans="1:19" s="729" customFormat="1" ht="14.1" customHeight="1" x14ac:dyDescent="0.25">
      <c r="A24" s="722"/>
      <c r="B24" s="739"/>
      <c r="C24" s="670"/>
      <c r="D24" s="685"/>
      <c r="E24" s="670"/>
      <c r="F24" s="670"/>
      <c r="G24" s="685"/>
      <c r="H24" s="670"/>
      <c r="I24" s="685"/>
      <c r="J24" s="670"/>
      <c r="K24" s="685"/>
      <c r="L24" s="670"/>
      <c r="M24" s="685"/>
      <c r="N24" s="670"/>
      <c r="O24" s="670"/>
      <c r="P24" s="685"/>
      <c r="Q24" s="606"/>
      <c r="S24" s="676"/>
    </row>
    <row r="25" spans="1:19" ht="21.6" customHeight="1" x14ac:dyDescent="0.25">
      <c r="B25" s="471" t="str">
        <f>"Accumulated depreciation at " &amp; TEXT(ComparativeYearStart, "d mmmm yyyy") &amp; " "</f>
        <v xml:space="preserve">Accumulated depreciation at 1 April 2017 </v>
      </c>
      <c r="C25" s="608">
        <f t="shared" ref="C25:Q25" si="4">SUM(C21:C22)</f>
        <v>0</v>
      </c>
      <c r="D25" s="608"/>
      <c r="E25" s="608">
        <f t="shared" ref="E25:O25" si="5">SUM(E21:E22)</f>
        <v>3802</v>
      </c>
      <c r="F25" s="608">
        <f t="shared" si="5"/>
        <v>0</v>
      </c>
      <c r="G25" s="608"/>
      <c r="H25" s="608">
        <f t="shared" si="5"/>
        <v>0</v>
      </c>
      <c r="I25" s="608"/>
      <c r="J25" s="608">
        <f t="shared" si="5"/>
        <v>31356</v>
      </c>
      <c r="K25" s="608"/>
      <c r="L25" s="608">
        <f t="shared" si="5"/>
        <v>262</v>
      </c>
      <c r="M25" s="608"/>
      <c r="N25" s="608">
        <f t="shared" si="5"/>
        <v>8888</v>
      </c>
      <c r="O25" s="608">
        <f t="shared" si="5"/>
        <v>0</v>
      </c>
      <c r="P25" s="608"/>
      <c r="Q25" s="608">
        <f t="shared" si="4"/>
        <v>44308</v>
      </c>
      <c r="S25" s="473"/>
    </row>
    <row r="26" spans="1:19" ht="14.1" hidden="1" customHeight="1" x14ac:dyDescent="0.25">
      <c r="B26" s="471" t="s">
        <v>539</v>
      </c>
      <c r="C26" s="454">
        <v>0</v>
      </c>
      <c r="D26" s="111"/>
      <c r="E26" s="454">
        <v>0</v>
      </c>
      <c r="F26" s="454">
        <v>0</v>
      </c>
      <c r="G26" s="111"/>
      <c r="H26" s="454">
        <v>0</v>
      </c>
      <c r="I26" s="111"/>
      <c r="J26" s="454">
        <v>0</v>
      </c>
      <c r="K26" s="111"/>
      <c r="L26" s="454">
        <v>0</v>
      </c>
      <c r="M26" s="111"/>
      <c r="N26" s="454">
        <v>0</v>
      </c>
      <c r="O26" s="454">
        <v>0</v>
      </c>
      <c r="P26" s="111"/>
      <c r="Q26" s="454">
        <f t="shared" ref="Q26:Q35" si="6">SUM(C26:O26)</f>
        <v>0</v>
      </c>
      <c r="S26" s="473"/>
    </row>
    <row r="27" spans="1:19" ht="14.1" hidden="1" customHeight="1" x14ac:dyDescent="0.25">
      <c r="B27" s="472" t="s">
        <v>373</v>
      </c>
      <c r="C27" s="468">
        <v>0</v>
      </c>
      <c r="D27" s="685"/>
      <c r="E27" s="468">
        <v>0</v>
      </c>
      <c r="F27" s="468">
        <v>0</v>
      </c>
      <c r="G27" s="685"/>
      <c r="H27" s="468">
        <v>0</v>
      </c>
      <c r="I27" s="685"/>
      <c r="J27" s="468">
        <v>0</v>
      </c>
      <c r="K27" s="685"/>
      <c r="L27" s="468">
        <v>0</v>
      </c>
      <c r="M27" s="685"/>
      <c r="N27" s="468">
        <v>0</v>
      </c>
      <c r="O27" s="468">
        <v>0</v>
      </c>
      <c r="P27" s="685"/>
      <c r="Q27" s="454">
        <f t="shared" si="6"/>
        <v>0</v>
      </c>
      <c r="S27" s="473"/>
    </row>
    <row r="28" spans="1:19" ht="14.1" customHeight="1" x14ac:dyDescent="0.25">
      <c r="B28" s="472" t="s">
        <v>369</v>
      </c>
      <c r="C28" s="468">
        <v>0</v>
      </c>
      <c r="D28" s="685"/>
      <c r="E28" s="468">
        <v>4048</v>
      </c>
      <c r="F28" s="468">
        <v>0</v>
      </c>
      <c r="G28" s="685"/>
      <c r="H28" s="468">
        <v>0</v>
      </c>
      <c r="I28" s="685"/>
      <c r="J28" s="468">
        <v>5751</v>
      </c>
      <c r="K28" s="685"/>
      <c r="L28" s="468">
        <v>23</v>
      </c>
      <c r="M28" s="685"/>
      <c r="N28" s="468">
        <v>1242</v>
      </c>
      <c r="O28" s="468">
        <v>0</v>
      </c>
      <c r="P28" s="685"/>
      <c r="Q28" s="454">
        <f t="shared" si="6"/>
        <v>11064</v>
      </c>
      <c r="S28" s="473"/>
    </row>
    <row r="29" spans="1:19" ht="14.1" hidden="1" customHeight="1" x14ac:dyDescent="0.25">
      <c r="B29" s="472" t="s">
        <v>242</v>
      </c>
      <c r="C29" s="468">
        <v>0</v>
      </c>
      <c r="D29" s="685"/>
      <c r="E29" s="468">
        <v>0</v>
      </c>
      <c r="F29" s="468">
        <v>0</v>
      </c>
      <c r="G29" s="685"/>
      <c r="H29" s="468">
        <v>0</v>
      </c>
      <c r="I29" s="685"/>
      <c r="J29" s="468">
        <v>0</v>
      </c>
      <c r="K29" s="685"/>
      <c r="L29" s="468">
        <v>0</v>
      </c>
      <c r="M29" s="685"/>
      <c r="N29" s="468">
        <v>0</v>
      </c>
      <c r="O29" s="468">
        <v>0</v>
      </c>
      <c r="P29" s="685"/>
      <c r="Q29" s="454">
        <f t="shared" si="6"/>
        <v>0</v>
      </c>
      <c r="S29" s="473"/>
    </row>
    <row r="30" spans="1:19" ht="14.1" hidden="1" customHeight="1" x14ac:dyDescent="0.25">
      <c r="B30" s="472" t="s">
        <v>473</v>
      </c>
      <c r="C30" s="468">
        <v>0</v>
      </c>
      <c r="D30" s="685"/>
      <c r="E30" s="468">
        <v>0</v>
      </c>
      <c r="F30" s="468">
        <v>0</v>
      </c>
      <c r="G30" s="685"/>
      <c r="H30" s="468">
        <v>0</v>
      </c>
      <c r="I30" s="685"/>
      <c r="J30" s="468">
        <v>0</v>
      </c>
      <c r="K30" s="685"/>
      <c r="L30" s="468">
        <v>0</v>
      </c>
      <c r="M30" s="685"/>
      <c r="N30" s="468">
        <v>0</v>
      </c>
      <c r="O30" s="468">
        <v>0</v>
      </c>
      <c r="P30" s="685"/>
      <c r="Q30" s="454">
        <f t="shared" si="6"/>
        <v>0</v>
      </c>
      <c r="S30" s="473"/>
    </row>
    <row r="31" spans="1:19" ht="14.1" hidden="1" customHeight="1" x14ac:dyDescent="0.25">
      <c r="B31" s="472" t="s">
        <v>287</v>
      </c>
      <c r="C31" s="468">
        <v>0</v>
      </c>
      <c r="D31" s="685"/>
      <c r="E31" s="468">
        <v>0</v>
      </c>
      <c r="F31" s="468">
        <v>0</v>
      </c>
      <c r="G31" s="685"/>
      <c r="H31" s="468">
        <v>0</v>
      </c>
      <c r="I31" s="685"/>
      <c r="J31" s="468">
        <v>0</v>
      </c>
      <c r="K31" s="685"/>
      <c r="L31" s="468">
        <v>0</v>
      </c>
      <c r="M31" s="685"/>
      <c r="N31" s="468">
        <v>0</v>
      </c>
      <c r="O31" s="468">
        <v>0</v>
      </c>
      <c r="P31" s="685"/>
      <c r="Q31" s="454">
        <f t="shared" si="6"/>
        <v>0</v>
      </c>
      <c r="S31" s="473"/>
    </row>
    <row r="32" spans="1:19" ht="14.1" hidden="1" customHeight="1" x14ac:dyDescent="0.25">
      <c r="B32" s="472" t="s">
        <v>367</v>
      </c>
      <c r="C32" s="468">
        <v>0</v>
      </c>
      <c r="D32" s="685"/>
      <c r="E32" s="468">
        <v>0</v>
      </c>
      <c r="F32" s="468">
        <v>0</v>
      </c>
      <c r="G32" s="685"/>
      <c r="H32" s="468">
        <v>0</v>
      </c>
      <c r="I32" s="685"/>
      <c r="J32" s="468">
        <v>0</v>
      </c>
      <c r="K32" s="685"/>
      <c r="L32" s="468">
        <v>0</v>
      </c>
      <c r="M32" s="685"/>
      <c r="N32" s="468">
        <v>0</v>
      </c>
      <c r="O32" s="468">
        <v>0</v>
      </c>
      <c r="P32" s="685"/>
      <c r="Q32" s="454">
        <f t="shared" si="6"/>
        <v>0</v>
      </c>
      <c r="S32" s="473"/>
    </row>
    <row r="33" spans="1:20" ht="13.95" hidden="1" customHeight="1" x14ac:dyDescent="0.25">
      <c r="B33" s="472" t="s">
        <v>638</v>
      </c>
      <c r="C33" s="468">
        <v>0</v>
      </c>
      <c r="D33" s="685"/>
      <c r="E33" s="468">
        <v>0</v>
      </c>
      <c r="F33" s="468">
        <v>0</v>
      </c>
      <c r="G33" s="685"/>
      <c r="H33" s="468">
        <v>0</v>
      </c>
      <c r="I33" s="685"/>
      <c r="J33" s="468">
        <v>0</v>
      </c>
      <c r="K33" s="685"/>
      <c r="L33" s="468">
        <v>0</v>
      </c>
      <c r="M33" s="685"/>
      <c r="N33" s="468">
        <v>0</v>
      </c>
      <c r="O33" s="468">
        <v>0</v>
      </c>
      <c r="P33" s="685"/>
      <c r="Q33" s="454">
        <f t="shared" si="6"/>
        <v>0</v>
      </c>
      <c r="S33" s="473"/>
    </row>
    <row r="34" spans="1:20" ht="14.1" customHeight="1" x14ac:dyDescent="0.25">
      <c r="B34" s="472" t="s">
        <v>368</v>
      </c>
      <c r="C34" s="468">
        <v>0</v>
      </c>
      <c r="D34" s="685"/>
      <c r="E34" s="468">
        <v>0</v>
      </c>
      <c r="F34" s="468">
        <v>0</v>
      </c>
      <c r="G34" s="685"/>
      <c r="H34" s="468">
        <v>0</v>
      </c>
      <c r="I34" s="685"/>
      <c r="J34" s="468">
        <v>-331</v>
      </c>
      <c r="K34" s="685"/>
      <c r="L34" s="468">
        <v>-20</v>
      </c>
      <c r="M34" s="685"/>
      <c r="N34" s="468">
        <v>0</v>
      </c>
      <c r="O34" s="468">
        <v>0</v>
      </c>
      <c r="P34" s="685"/>
      <c r="Q34" s="454">
        <f t="shared" si="6"/>
        <v>-351</v>
      </c>
      <c r="S34" s="473"/>
    </row>
    <row r="35" spans="1:20" ht="14.1" hidden="1" customHeight="1" x14ac:dyDescent="0.25">
      <c r="B35" s="221" t="s">
        <v>604</v>
      </c>
      <c r="C35" s="468">
        <v>0</v>
      </c>
      <c r="D35" s="685"/>
      <c r="E35" s="468">
        <v>0</v>
      </c>
      <c r="F35" s="468">
        <v>0</v>
      </c>
      <c r="G35" s="685"/>
      <c r="H35" s="468">
        <v>0</v>
      </c>
      <c r="I35" s="685"/>
      <c r="J35" s="468">
        <v>0</v>
      </c>
      <c r="K35" s="685"/>
      <c r="L35" s="468">
        <v>0</v>
      </c>
      <c r="M35" s="685"/>
      <c r="N35" s="468">
        <v>0</v>
      </c>
      <c r="O35" s="468">
        <v>0</v>
      </c>
      <c r="P35" s="685"/>
      <c r="Q35" s="454">
        <f t="shared" si="6"/>
        <v>0</v>
      </c>
      <c r="S35" s="473"/>
    </row>
    <row r="36" spans="1:20" s="729" customFormat="1" ht="14.1" customHeight="1" x14ac:dyDescent="0.25">
      <c r="A36" s="722"/>
      <c r="B36" s="221"/>
      <c r="C36" s="670"/>
      <c r="D36" s="685"/>
      <c r="E36" s="670"/>
      <c r="F36" s="670"/>
      <c r="G36" s="685"/>
      <c r="H36" s="670"/>
      <c r="I36" s="685"/>
      <c r="J36" s="670"/>
      <c r="K36" s="685"/>
      <c r="L36" s="670"/>
      <c r="M36" s="685"/>
      <c r="N36" s="670"/>
      <c r="O36" s="670"/>
      <c r="P36" s="685"/>
      <c r="Q36" s="606"/>
      <c r="S36" s="676"/>
    </row>
    <row r="37" spans="1:20" ht="14.1" customHeight="1" thickBot="1" x14ac:dyDescent="0.3">
      <c r="B37" s="475" t="str">
        <f>"Accumulated depreciation at " &amp; TEXT(ComparativeYearEnd, "d mmmm yyyy")</f>
        <v>Accumulated depreciation at 31 March 2018</v>
      </c>
      <c r="C37" s="453">
        <f t="shared" ref="C37:Q37" si="7">SUM(C25:C35)</f>
        <v>0</v>
      </c>
      <c r="D37" s="684"/>
      <c r="E37" s="453">
        <f t="shared" si="7"/>
        <v>7850</v>
      </c>
      <c r="F37" s="453">
        <f t="shared" si="7"/>
        <v>0</v>
      </c>
      <c r="G37" s="684"/>
      <c r="H37" s="453">
        <f t="shared" si="7"/>
        <v>0</v>
      </c>
      <c r="I37" s="684"/>
      <c r="J37" s="453">
        <f t="shared" si="7"/>
        <v>36776</v>
      </c>
      <c r="K37" s="684"/>
      <c r="L37" s="453">
        <f t="shared" si="7"/>
        <v>265</v>
      </c>
      <c r="M37" s="684"/>
      <c r="N37" s="453">
        <f t="shared" si="7"/>
        <v>10130</v>
      </c>
      <c r="O37" s="453">
        <f t="shared" si="7"/>
        <v>0</v>
      </c>
      <c r="P37" s="684"/>
      <c r="Q37" s="453">
        <f t="shared" si="7"/>
        <v>55021</v>
      </c>
      <c r="S37" s="473"/>
      <c r="T37" s="473"/>
    </row>
    <row r="38" spans="1:20" ht="6.6" customHeight="1" thickTop="1" x14ac:dyDescent="0.25">
      <c r="B38" s="471"/>
      <c r="S38" s="473"/>
      <c r="T38" s="473"/>
    </row>
    <row r="39" spans="1:20" s="673" customFormat="1" ht="13.95" customHeight="1" x14ac:dyDescent="0.25">
      <c r="A39" s="680"/>
      <c r="B39" s="674"/>
      <c r="D39" s="679"/>
      <c r="G39" s="679"/>
      <c r="I39" s="679"/>
      <c r="K39" s="679"/>
      <c r="M39" s="679"/>
      <c r="P39" s="679"/>
      <c r="S39" s="676"/>
      <c r="T39" s="676"/>
    </row>
    <row r="40" spans="1:20" ht="14.1" customHeight="1" x14ac:dyDescent="0.25">
      <c r="B40" s="471" t="str">
        <f>"Net book value at "&amp; TEXT(ComparativeYearEnd, "d mmmm yyyy")</f>
        <v>Net book value at 31 March 2018</v>
      </c>
      <c r="C40" s="454">
        <f t="shared" ref="C40:O40" si="8">C19-C37</f>
        <v>11574</v>
      </c>
      <c r="D40" s="111"/>
      <c r="E40" s="454">
        <f t="shared" si="8"/>
        <v>231495</v>
      </c>
      <c r="F40" s="454">
        <f t="shared" si="8"/>
        <v>0</v>
      </c>
      <c r="G40" s="111"/>
      <c r="H40" s="454">
        <f t="shared" si="8"/>
        <v>3876</v>
      </c>
      <c r="I40" s="111"/>
      <c r="J40" s="454">
        <f t="shared" si="8"/>
        <v>31901</v>
      </c>
      <c r="K40" s="111"/>
      <c r="L40" s="454">
        <f t="shared" si="8"/>
        <v>65</v>
      </c>
      <c r="M40" s="111"/>
      <c r="N40" s="454">
        <f t="shared" si="8"/>
        <v>5125</v>
      </c>
      <c r="O40" s="454">
        <f t="shared" si="8"/>
        <v>0</v>
      </c>
      <c r="P40" s="111"/>
      <c r="Q40" s="454">
        <f t="shared" ref="Q40:Q41" si="9">SUM(C40:O40)</f>
        <v>284036</v>
      </c>
      <c r="R40" s="23"/>
      <c r="S40" s="473"/>
      <c r="T40" s="473"/>
    </row>
    <row r="41" spans="1:20" ht="14.1" customHeight="1" x14ac:dyDescent="0.25">
      <c r="B41" s="471" t="str">
        <f>"Net book value at "&amp; TEXT(ComparativeYearStart, "d mmmm yyyy")</f>
        <v>Net book value at 1 April 2017</v>
      </c>
      <c r="C41" s="454">
        <f>C8-C25</f>
        <v>11741</v>
      </c>
      <c r="D41" s="111"/>
      <c r="E41" s="454">
        <f>E8-E25</f>
        <v>225524</v>
      </c>
      <c r="F41" s="454">
        <f>F8-F25</f>
        <v>0</v>
      </c>
      <c r="G41" s="111"/>
      <c r="H41" s="454">
        <f>H8-H25</f>
        <v>2803</v>
      </c>
      <c r="I41" s="111"/>
      <c r="J41" s="454">
        <f>J8-J25</f>
        <v>32259</v>
      </c>
      <c r="K41" s="111"/>
      <c r="L41" s="454">
        <f>L8-L25</f>
        <v>88</v>
      </c>
      <c r="M41" s="111"/>
      <c r="N41" s="454">
        <f>N8-N25</f>
        <v>4305</v>
      </c>
      <c r="O41" s="454">
        <f>O8-O25</f>
        <v>0</v>
      </c>
      <c r="P41" s="111"/>
      <c r="Q41" s="454">
        <f t="shared" si="9"/>
        <v>276720</v>
      </c>
      <c r="R41" s="23"/>
      <c r="S41" s="473"/>
      <c r="T41" s="473"/>
    </row>
    <row r="42" spans="1:20" ht="14.1" customHeight="1" x14ac:dyDescent="0.2">
      <c r="C42" s="23"/>
      <c r="D42" s="793"/>
      <c r="E42" s="23"/>
      <c r="F42" s="23"/>
      <c r="G42" s="793"/>
      <c r="H42" s="23"/>
      <c r="I42" s="793"/>
      <c r="J42" s="23"/>
      <c r="K42" s="793"/>
      <c r="L42" s="23"/>
      <c r="M42" s="793"/>
      <c r="N42" s="23"/>
      <c r="O42" s="23"/>
      <c r="P42" s="793"/>
      <c r="Q42" s="23"/>
      <c r="R42" s="23"/>
      <c r="S42" s="46"/>
      <c r="T42" s="473"/>
    </row>
    <row r="43" spans="1:20" ht="14.1" customHeight="1" x14ac:dyDescent="0.2">
      <c r="C43" s="23"/>
      <c r="D43" s="793"/>
      <c r="E43" s="23"/>
      <c r="F43" s="23"/>
      <c r="G43" s="793"/>
      <c r="H43" s="23"/>
      <c r="I43" s="793"/>
      <c r="J43" s="23"/>
      <c r="K43" s="793"/>
      <c r="L43" s="23"/>
      <c r="M43" s="793"/>
      <c r="N43" s="23"/>
      <c r="O43" s="23"/>
      <c r="P43" s="793"/>
      <c r="Q43" s="23"/>
      <c r="R43" s="23"/>
      <c r="S43" s="46"/>
      <c r="T43" s="473"/>
    </row>
    <row r="44" spans="1:20" ht="14.1" customHeight="1" x14ac:dyDescent="0.2">
      <c r="C44" s="23"/>
      <c r="D44" s="793"/>
      <c r="E44" s="23"/>
      <c r="F44" s="23"/>
      <c r="G44" s="793"/>
      <c r="H44" s="23"/>
      <c r="I44" s="793"/>
      <c r="J44" s="23"/>
      <c r="K44" s="793"/>
      <c r="L44" s="23"/>
      <c r="M44" s="793"/>
      <c r="N44" s="23"/>
      <c r="O44" s="23"/>
      <c r="P44" s="793"/>
      <c r="Q44" s="23"/>
      <c r="R44" s="23"/>
      <c r="S44" s="46"/>
      <c r="T44" s="473"/>
    </row>
    <row r="45" spans="1:20" ht="14.1" customHeight="1" x14ac:dyDescent="0.2">
      <c r="C45" s="23"/>
      <c r="D45" s="793"/>
      <c r="E45" s="23"/>
      <c r="F45" s="23"/>
      <c r="G45" s="793"/>
      <c r="H45" s="23"/>
      <c r="I45" s="793"/>
      <c r="J45" s="23"/>
      <c r="K45" s="793"/>
      <c r="L45" s="23"/>
      <c r="M45" s="793"/>
      <c r="N45" s="23"/>
      <c r="O45" s="23"/>
      <c r="P45" s="793"/>
      <c r="Q45" s="23"/>
      <c r="R45" s="23"/>
      <c r="S45" s="23"/>
    </row>
  </sheetData>
  <pageMargins left="0.70866141732283472" right="0.70866141732283472" top="0.74803149606299213" bottom="0.74803149606299213" header="0.31496062992125984" footer="0.31496062992125984"/>
  <pageSetup paperSize="9" fitToHeight="0" orientation="landscape" r:id="rId1"/>
  <headerFooter>
    <oddHeader>&amp;C&amp;10Hull University Teaching Hospitals NHS Trust - Annual Accounts 2018/19</oddHeader>
    <oddFooter>&amp;C&amp;10Page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7:B10"/>
  <sheetViews>
    <sheetView tabSelected="1" zoomScaleNormal="100" workbookViewId="0">
      <selection sqref="A1:XFD1048576"/>
    </sheetView>
  </sheetViews>
  <sheetFormatPr defaultColWidth="9.109375" defaultRowHeight="13.2" x14ac:dyDescent="0.25"/>
  <cols>
    <col min="1" max="1" width="9.109375" style="5"/>
    <col min="2" max="2" width="71.6640625" style="5" bestFit="1" customWidth="1"/>
    <col min="3" max="16384" width="9.109375" style="5"/>
  </cols>
  <sheetData>
    <row r="7" spans="2:2" x14ac:dyDescent="0.25">
      <c r="B7" s="4" t="str">
        <f>SelectedFT</f>
        <v>Hull University Teaching Hospitals NHS Trust</v>
      </c>
    </row>
    <row r="10" spans="2:2" x14ac:dyDescent="0.25">
      <c r="B10" s="4" t="str">
        <f>"Annual accounts for the year ended " &amp; TEXT(CurrentYearEnd, "d mmmm yyyy")</f>
        <v>Annual accounts for the year ended 31 March 2019</v>
      </c>
    </row>
  </sheetData>
  <customSheetViews>
    <customSheetView guid="{EDC1BD6E-863A-4FC6-A3A9-F32079F4F0C1}">
      <selection activeCell="B7" sqref="B7"/>
      <pageMargins left="0.7" right="0.7" top="0.75" bottom="0.75" header="0.3" footer="0.3"/>
      <pageSetup paperSize="9" orientation="portrait" verticalDpi="0" r:id="rId1"/>
      <headerFooter>
        <oddHeader>&amp;LINSERT YOUR NHS Foundation Trust&amp;RStatement of accounts 2014/15</oddHeader>
      </headerFooter>
    </customSheetView>
  </customSheetViews>
  <pageMargins left="0.7" right="0.7"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8" tint="0.39997558519241921"/>
  </sheetPr>
  <dimension ref="A1:O29"/>
  <sheetViews>
    <sheetView zoomScaleNormal="100" workbookViewId="0">
      <selection activeCell="C6" sqref="C6:M6"/>
    </sheetView>
  </sheetViews>
  <sheetFormatPr defaultColWidth="9.109375" defaultRowHeight="14.1" customHeight="1" x14ac:dyDescent="0.2"/>
  <cols>
    <col min="1" max="1" width="0.88671875" style="52" customWidth="1"/>
    <col min="2" max="2" width="35.88671875" style="25" customWidth="1"/>
    <col min="3" max="3" width="8.6640625" style="25" customWidth="1"/>
    <col min="4" max="4" width="2.6640625" style="679" customWidth="1"/>
    <col min="5" max="5" width="8.6640625" style="25" customWidth="1"/>
    <col min="6" max="6" width="2.6640625" style="679" customWidth="1"/>
    <col min="7" max="7" width="11.44140625" style="25" customWidth="1"/>
    <col min="8" max="8" width="2.6640625" style="679" customWidth="1"/>
    <col min="9" max="9" width="8.6640625" style="25" customWidth="1"/>
    <col min="10" max="10" width="2.6640625" style="679" customWidth="1"/>
    <col min="11" max="11" width="9.6640625" style="25" customWidth="1"/>
    <col min="12" max="12" width="2.6640625" style="679" customWidth="1"/>
    <col min="13" max="13" width="9.6640625" style="25" customWidth="1"/>
    <col min="14" max="14" width="2.6640625" style="679" customWidth="1"/>
    <col min="15" max="15" width="8.6640625" style="25" customWidth="1"/>
    <col min="16" max="16384" width="9.109375" style="25"/>
  </cols>
  <sheetData>
    <row r="1" spans="1:15" ht="14.1" customHeight="1" x14ac:dyDescent="0.25">
      <c r="A1" s="52">
        <f>PPE!A34+0.1</f>
        <v>14.299999999999999</v>
      </c>
      <c r="B1" s="123" t="str">
        <f>"Note "&amp;A1&amp; " Property, plant and equipment financing - " &amp; CurrentFY</f>
        <v>Note 14.3 Property, plant and equipment financing - 2018/19</v>
      </c>
    </row>
    <row r="2" spans="1:15" s="767" customFormat="1" ht="14.1" customHeight="1" x14ac:dyDescent="0.25">
      <c r="A2" s="722"/>
      <c r="B2" s="781"/>
      <c r="D2" s="679"/>
      <c r="F2" s="679"/>
      <c r="H2" s="679"/>
      <c r="J2" s="679"/>
      <c r="L2" s="679"/>
      <c r="N2" s="679"/>
    </row>
    <row r="3" spans="1:15" ht="46.2" customHeight="1" x14ac:dyDescent="0.25">
      <c r="B3" s="115"/>
      <c r="C3" s="113" t="s">
        <v>361</v>
      </c>
      <c r="D3" s="136"/>
      <c r="E3" s="113" t="s">
        <v>362</v>
      </c>
      <c r="F3" s="136"/>
      <c r="G3" s="113" t="s">
        <v>475</v>
      </c>
      <c r="H3" s="136"/>
      <c r="I3" s="113" t="s">
        <v>364</v>
      </c>
      <c r="J3" s="136"/>
      <c r="K3" s="113" t="s">
        <v>365</v>
      </c>
      <c r="L3" s="136"/>
      <c r="M3" s="113" t="s">
        <v>372</v>
      </c>
      <c r="N3" s="136"/>
      <c r="O3" s="113" t="s">
        <v>360</v>
      </c>
    </row>
    <row r="4" spans="1:15" ht="14.1" customHeight="1" x14ac:dyDescent="0.25">
      <c r="B4" s="115"/>
      <c r="C4" s="113" t="s">
        <v>283</v>
      </c>
      <c r="D4" s="136"/>
      <c r="E4" s="113" t="s">
        <v>283</v>
      </c>
      <c r="F4" s="136"/>
      <c r="G4" s="113" t="s">
        <v>283</v>
      </c>
      <c r="H4" s="136"/>
      <c r="I4" s="113" t="s">
        <v>283</v>
      </c>
      <c r="J4" s="136"/>
      <c r="K4" s="113" t="s">
        <v>283</v>
      </c>
      <c r="L4" s="136"/>
      <c r="M4" s="113" t="s">
        <v>283</v>
      </c>
      <c r="N4" s="136"/>
      <c r="O4" s="113" t="s">
        <v>283</v>
      </c>
    </row>
    <row r="5" spans="1:15" ht="14.1" customHeight="1" x14ac:dyDescent="0.25">
      <c r="B5" s="115" t="str">
        <f>"Net book value at " &amp; TEXT(CurrentYearEnd, "d mmmm yyyy")</f>
        <v>Net book value at 31 March 2019</v>
      </c>
      <c r="C5" s="48"/>
      <c r="D5" s="794"/>
      <c r="E5" s="48"/>
      <c r="F5" s="794"/>
      <c r="G5" s="48"/>
      <c r="H5" s="794"/>
      <c r="I5" s="48"/>
      <c r="J5" s="794"/>
      <c r="K5" s="48"/>
      <c r="L5" s="794"/>
      <c r="M5" s="48"/>
      <c r="N5" s="794"/>
      <c r="O5" s="48"/>
    </row>
    <row r="6" spans="1:15" ht="14.1" customHeight="1" x14ac:dyDescent="0.25">
      <c r="B6" s="137" t="s">
        <v>867</v>
      </c>
      <c r="C6" s="62">
        <v>9641</v>
      </c>
      <c r="D6" s="685"/>
      <c r="E6" s="258">
        <v>174622</v>
      </c>
      <c r="F6" s="685"/>
      <c r="G6" s="258">
        <v>4307</v>
      </c>
      <c r="H6" s="685"/>
      <c r="I6" s="258">
        <v>24021</v>
      </c>
      <c r="J6" s="685"/>
      <c r="K6" s="258">
        <v>100</v>
      </c>
      <c r="L6" s="685"/>
      <c r="M6" s="258">
        <v>6532</v>
      </c>
      <c r="N6" s="685"/>
      <c r="O6" s="74">
        <f t="shared" ref="O6:O11" si="0">SUM(C6:N6)</f>
        <v>219223</v>
      </c>
    </row>
    <row r="7" spans="1:15" ht="14.1" customHeight="1" x14ac:dyDescent="0.25">
      <c r="B7" s="137" t="s">
        <v>466</v>
      </c>
      <c r="C7" s="258">
        <v>0</v>
      </c>
      <c r="D7" s="685"/>
      <c r="E7" s="258">
        <v>1796</v>
      </c>
      <c r="F7" s="685"/>
      <c r="G7" s="258">
        <v>0</v>
      </c>
      <c r="H7" s="685"/>
      <c r="I7" s="258">
        <v>0</v>
      </c>
      <c r="J7" s="685"/>
      <c r="K7" s="258">
        <v>0</v>
      </c>
      <c r="L7" s="685"/>
      <c r="M7" s="258">
        <v>0</v>
      </c>
      <c r="N7" s="685"/>
      <c r="O7" s="237">
        <f t="shared" si="0"/>
        <v>1796</v>
      </c>
    </row>
    <row r="8" spans="1:15" ht="24.75" customHeight="1" x14ac:dyDescent="0.25">
      <c r="B8" s="137" t="s">
        <v>467</v>
      </c>
      <c r="C8" s="258">
        <v>0</v>
      </c>
      <c r="D8" s="685"/>
      <c r="E8" s="258">
        <v>56233</v>
      </c>
      <c r="F8" s="685"/>
      <c r="G8" s="258">
        <v>0</v>
      </c>
      <c r="H8" s="685"/>
      <c r="I8" s="258">
        <v>0</v>
      </c>
      <c r="J8" s="685"/>
      <c r="K8" s="258">
        <v>0</v>
      </c>
      <c r="L8" s="685"/>
      <c r="M8" s="258">
        <v>0</v>
      </c>
      <c r="N8" s="685"/>
      <c r="O8" s="237">
        <f t="shared" si="0"/>
        <v>56233</v>
      </c>
    </row>
    <row r="9" spans="1:15" ht="14.1" hidden="1" customHeight="1" x14ac:dyDescent="0.25">
      <c r="B9" s="137" t="s">
        <v>947</v>
      </c>
      <c r="C9" s="258"/>
      <c r="D9" s="685"/>
      <c r="E9" s="258"/>
      <c r="F9" s="685"/>
      <c r="G9" s="258"/>
      <c r="H9" s="685"/>
      <c r="I9" s="258"/>
      <c r="J9" s="685"/>
      <c r="K9" s="258"/>
      <c r="L9" s="685"/>
      <c r="M9" s="258"/>
      <c r="N9" s="685"/>
      <c r="O9" s="237">
        <f t="shared" si="0"/>
        <v>0</v>
      </c>
    </row>
    <row r="10" spans="1:15" ht="14.1" hidden="1" customHeight="1" x14ac:dyDescent="0.25">
      <c r="B10" s="137" t="s">
        <v>869</v>
      </c>
      <c r="C10" s="258"/>
      <c r="D10" s="685"/>
      <c r="E10" s="258"/>
      <c r="F10" s="685"/>
      <c r="G10" s="258"/>
      <c r="H10" s="685"/>
      <c r="I10" s="258"/>
      <c r="J10" s="685"/>
      <c r="K10" s="258"/>
      <c r="L10" s="685"/>
      <c r="M10" s="258"/>
      <c r="N10" s="685"/>
      <c r="O10" s="237">
        <f t="shared" si="0"/>
        <v>0</v>
      </c>
    </row>
    <row r="11" spans="1:15" ht="14.1" customHeight="1" x14ac:dyDescent="0.25">
      <c r="B11" s="137" t="s">
        <v>868</v>
      </c>
      <c r="C11" s="258">
        <v>0</v>
      </c>
      <c r="D11" s="685"/>
      <c r="E11" s="258">
        <v>5269</v>
      </c>
      <c r="F11" s="685"/>
      <c r="G11" s="258">
        <v>0</v>
      </c>
      <c r="H11" s="685"/>
      <c r="I11" s="258">
        <v>1490</v>
      </c>
      <c r="J11" s="685"/>
      <c r="K11" s="258">
        <v>0</v>
      </c>
      <c r="L11" s="685"/>
      <c r="M11" s="258">
        <v>0</v>
      </c>
      <c r="N11" s="685"/>
      <c r="O11" s="237">
        <f t="shared" si="0"/>
        <v>6759</v>
      </c>
    </row>
    <row r="12" spans="1:15" s="784" customFormat="1" ht="14.1" customHeight="1" x14ac:dyDescent="0.25">
      <c r="A12" s="722"/>
      <c r="B12" s="787"/>
      <c r="C12" s="670"/>
      <c r="D12" s="685"/>
      <c r="E12" s="670"/>
      <c r="F12" s="685"/>
      <c r="G12" s="670"/>
      <c r="H12" s="685"/>
      <c r="I12" s="670"/>
      <c r="J12" s="685"/>
      <c r="K12" s="670"/>
      <c r="L12" s="685"/>
      <c r="M12" s="670"/>
      <c r="N12" s="685"/>
      <c r="O12" s="606"/>
    </row>
    <row r="13" spans="1:15" ht="14.1" customHeight="1" thickBot="1" x14ac:dyDescent="0.3">
      <c r="B13" s="123" t="str">
        <f>"NBV total at " &amp; TEXT(CurrentYearEnd, "d mmmm yyyy")</f>
        <v>NBV total at 31 March 2019</v>
      </c>
      <c r="C13" s="63">
        <f>SUM(C6:C11)</f>
        <v>9641</v>
      </c>
      <c r="D13" s="684"/>
      <c r="E13" s="236">
        <f t="shared" ref="E13:O13" si="1">SUM(E6:E11)</f>
        <v>237920</v>
      </c>
      <c r="F13" s="684"/>
      <c r="G13" s="236">
        <f t="shared" si="1"/>
        <v>4307</v>
      </c>
      <c r="H13" s="684"/>
      <c r="I13" s="236">
        <f t="shared" si="1"/>
        <v>25511</v>
      </c>
      <c r="J13" s="684"/>
      <c r="K13" s="236">
        <f t="shared" si="1"/>
        <v>100</v>
      </c>
      <c r="L13" s="684"/>
      <c r="M13" s="236">
        <f t="shared" si="1"/>
        <v>6532</v>
      </c>
      <c r="N13" s="684"/>
      <c r="O13" s="236">
        <f t="shared" si="1"/>
        <v>284011</v>
      </c>
    </row>
    <row r="14" spans="1:15" ht="14.1" customHeight="1" thickTop="1" x14ac:dyDescent="0.25">
      <c r="B14" s="115"/>
      <c r="C14" s="32"/>
      <c r="D14" s="55"/>
      <c r="E14" s="32"/>
      <c r="F14" s="55"/>
      <c r="G14" s="32"/>
      <c r="H14" s="55"/>
      <c r="I14" s="32"/>
      <c r="J14" s="55"/>
      <c r="K14" s="32"/>
      <c r="L14" s="55"/>
      <c r="M14" s="32"/>
      <c r="N14" s="55"/>
      <c r="O14" s="32"/>
    </row>
    <row r="15" spans="1:15" ht="30.6" customHeight="1" x14ac:dyDescent="0.25">
      <c r="B15" s="115"/>
    </row>
    <row r="16" spans="1:15" ht="14.1" customHeight="1" x14ac:dyDescent="0.25">
      <c r="A16" s="52">
        <f>A1+0.1</f>
        <v>14.399999999999999</v>
      </c>
      <c r="B16" s="123" t="str">
        <f>"Note "&amp;A16&amp; " Property, plant and equipment financing - " &amp; ComparativeFY</f>
        <v>Note 14.4 Property, plant and equipment financing - 2017/18</v>
      </c>
    </row>
    <row r="17" spans="1:15" ht="45" customHeight="1" x14ac:dyDescent="0.25">
      <c r="B17" s="115"/>
      <c r="C17" s="113" t="s">
        <v>361</v>
      </c>
      <c r="D17" s="136"/>
      <c r="E17" s="113" t="s">
        <v>362</v>
      </c>
      <c r="F17" s="136"/>
      <c r="G17" s="113" t="s">
        <v>475</v>
      </c>
      <c r="H17" s="136"/>
      <c r="I17" s="113" t="s">
        <v>364</v>
      </c>
      <c r="J17" s="136"/>
      <c r="K17" s="113" t="s">
        <v>365</v>
      </c>
      <c r="L17" s="136"/>
      <c r="M17" s="113" t="s">
        <v>372</v>
      </c>
      <c r="N17" s="136"/>
      <c r="O17" s="113" t="s">
        <v>360</v>
      </c>
    </row>
    <row r="18" spans="1:15" ht="14.1" customHeight="1" x14ac:dyDescent="0.25">
      <c r="B18" s="115"/>
      <c r="C18" s="113" t="s">
        <v>283</v>
      </c>
      <c r="D18" s="136"/>
      <c r="E18" s="113" t="s">
        <v>283</v>
      </c>
      <c r="F18" s="136"/>
      <c r="G18" s="113" t="s">
        <v>283</v>
      </c>
      <c r="H18" s="136"/>
      <c r="I18" s="113" t="s">
        <v>283</v>
      </c>
      <c r="J18" s="136"/>
      <c r="K18" s="113" t="s">
        <v>283</v>
      </c>
      <c r="L18" s="136"/>
      <c r="M18" s="113" t="s">
        <v>283</v>
      </c>
      <c r="N18" s="136"/>
      <c r="O18" s="113" t="s">
        <v>283</v>
      </c>
    </row>
    <row r="19" spans="1:15" ht="14.1" customHeight="1" x14ac:dyDescent="0.25">
      <c r="B19" s="115" t="str">
        <f>"Net book value at " &amp;TEXT(ComparativeYearEnd, "d mmmm yyyy")</f>
        <v>Net book value at 31 March 2018</v>
      </c>
      <c r="C19" s="48"/>
      <c r="D19" s="794"/>
      <c r="E19" s="48"/>
      <c r="F19" s="794"/>
      <c r="G19" s="48"/>
      <c r="H19" s="794"/>
      <c r="I19" s="48"/>
      <c r="J19" s="794"/>
      <c r="K19" s="48"/>
      <c r="L19" s="794"/>
      <c r="M19" s="48"/>
      <c r="N19" s="794"/>
      <c r="O19" s="49"/>
    </row>
    <row r="20" spans="1:15" ht="14.1" customHeight="1" x14ac:dyDescent="0.25">
      <c r="B20" s="137" t="s">
        <v>867</v>
      </c>
      <c r="C20" s="670">
        <v>11574</v>
      </c>
      <c r="D20" s="685"/>
      <c r="E20" s="670">
        <v>168677</v>
      </c>
      <c r="F20" s="685"/>
      <c r="G20" s="670">
        <v>3876</v>
      </c>
      <c r="H20" s="685"/>
      <c r="I20" s="670">
        <v>30219</v>
      </c>
      <c r="J20" s="685"/>
      <c r="K20" s="670">
        <v>65</v>
      </c>
      <c r="L20" s="685"/>
      <c r="M20" s="670">
        <v>5125</v>
      </c>
      <c r="N20" s="685"/>
      <c r="O20" s="237">
        <f t="shared" ref="O20:O25" si="2">SUM(C20:N20)</f>
        <v>219536</v>
      </c>
    </row>
    <row r="21" spans="1:15" ht="14.1" customHeight="1" x14ac:dyDescent="0.25">
      <c r="B21" s="137" t="s">
        <v>466</v>
      </c>
      <c r="C21" s="670">
        <v>0</v>
      </c>
      <c r="D21" s="685"/>
      <c r="E21" s="670">
        <v>1757</v>
      </c>
      <c r="F21" s="685"/>
      <c r="G21" s="670">
        <v>0</v>
      </c>
      <c r="H21" s="685"/>
      <c r="I21" s="670">
        <v>0</v>
      </c>
      <c r="J21" s="685"/>
      <c r="K21" s="670">
        <v>0</v>
      </c>
      <c r="L21" s="685"/>
      <c r="M21" s="670">
        <v>0</v>
      </c>
      <c r="N21" s="685"/>
      <c r="O21" s="237">
        <f t="shared" si="2"/>
        <v>1757</v>
      </c>
    </row>
    <row r="22" spans="1:15" ht="26.7" customHeight="1" x14ac:dyDescent="0.25">
      <c r="B22" s="137" t="s">
        <v>467</v>
      </c>
      <c r="C22" s="670">
        <v>0</v>
      </c>
      <c r="D22" s="685"/>
      <c r="E22" s="670">
        <v>54606</v>
      </c>
      <c r="F22" s="685"/>
      <c r="G22" s="670">
        <v>0</v>
      </c>
      <c r="H22" s="685"/>
      <c r="I22" s="670">
        <v>0</v>
      </c>
      <c r="J22" s="685"/>
      <c r="K22" s="670">
        <v>0</v>
      </c>
      <c r="L22" s="685"/>
      <c r="M22" s="670">
        <v>0</v>
      </c>
      <c r="N22" s="685"/>
      <c r="O22" s="237">
        <f t="shared" si="2"/>
        <v>54606</v>
      </c>
    </row>
    <row r="23" spans="1:15" ht="14.1" hidden="1" customHeight="1" x14ac:dyDescent="0.25">
      <c r="B23" s="137" t="s">
        <v>947</v>
      </c>
      <c r="C23" s="670"/>
      <c r="D23" s="685"/>
      <c r="E23" s="670"/>
      <c r="F23" s="685"/>
      <c r="G23" s="670"/>
      <c r="H23" s="685"/>
      <c r="I23" s="670"/>
      <c r="J23" s="685"/>
      <c r="K23" s="670"/>
      <c r="L23" s="685"/>
      <c r="M23" s="670"/>
      <c r="N23" s="685"/>
      <c r="O23" s="237">
        <f t="shared" si="2"/>
        <v>0</v>
      </c>
    </row>
    <row r="24" spans="1:15" ht="14.1" hidden="1" customHeight="1" x14ac:dyDescent="0.25">
      <c r="B24" s="137" t="s">
        <v>869</v>
      </c>
      <c r="C24" s="670"/>
      <c r="D24" s="685"/>
      <c r="E24" s="670"/>
      <c r="F24" s="685"/>
      <c r="G24" s="670"/>
      <c r="H24" s="685"/>
      <c r="I24" s="670"/>
      <c r="J24" s="685"/>
      <c r="K24" s="670"/>
      <c r="L24" s="685"/>
      <c r="M24" s="670"/>
      <c r="N24" s="685"/>
      <c r="O24" s="237">
        <f t="shared" si="2"/>
        <v>0</v>
      </c>
    </row>
    <row r="25" spans="1:15" ht="14.1" customHeight="1" x14ac:dyDescent="0.25">
      <c r="B25" s="137" t="s">
        <v>868</v>
      </c>
      <c r="C25" s="670">
        <v>0</v>
      </c>
      <c r="D25" s="685"/>
      <c r="E25" s="670">
        <v>6455</v>
      </c>
      <c r="F25" s="685"/>
      <c r="G25" s="670">
        <v>0</v>
      </c>
      <c r="H25" s="685"/>
      <c r="I25" s="670">
        <v>1682</v>
      </c>
      <c r="J25" s="685"/>
      <c r="K25" s="670">
        <v>0</v>
      </c>
      <c r="L25" s="685"/>
      <c r="M25" s="670">
        <v>0</v>
      </c>
      <c r="N25" s="685"/>
      <c r="O25" s="237">
        <f t="shared" si="2"/>
        <v>8137</v>
      </c>
    </row>
    <row r="26" spans="1:15" s="784" customFormat="1" ht="14.1" customHeight="1" x14ac:dyDescent="0.25">
      <c r="A26" s="722"/>
      <c r="B26" s="787"/>
      <c r="C26" s="670"/>
      <c r="D26" s="685"/>
      <c r="E26" s="670"/>
      <c r="F26" s="685"/>
      <c r="G26" s="670"/>
      <c r="H26" s="685"/>
      <c r="I26" s="670"/>
      <c r="J26" s="685"/>
      <c r="K26" s="670"/>
      <c r="L26" s="685"/>
      <c r="M26" s="670"/>
      <c r="N26" s="685"/>
      <c r="O26" s="606"/>
    </row>
    <row r="27" spans="1:15" ht="14.1" customHeight="1" thickBot="1" x14ac:dyDescent="0.3">
      <c r="B27" s="123" t="str">
        <f>"NBV total at " &amp;TEXT(ComparativeYearEnd, "d mmmm yyyy")</f>
        <v>NBV total at 31 March 2018</v>
      </c>
      <c r="C27" s="236">
        <f>SUM(C20:C25)</f>
        <v>11574</v>
      </c>
      <c r="D27" s="684"/>
      <c r="E27" s="236">
        <f t="shared" ref="E27:O27" si="3">SUM(E20:E25)</f>
        <v>231495</v>
      </c>
      <c r="F27" s="684"/>
      <c r="G27" s="236">
        <f t="shared" si="3"/>
        <v>3876</v>
      </c>
      <c r="H27" s="684"/>
      <c r="I27" s="236">
        <f t="shared" si="3"/>
        <v>31901</v>
      </c>
      <c r="J27" s="684"/>
      <c r="K27" s="236">
        <f t="shared" si="3"/>
        <v>65</v>
      </c>
      <c r="L27" s="684"/>
      <c r="M27" s="236">
        <f t="shared" si="3"/>
        <v>5125</v>
      </c>
      <c r="N27" s="684"/>
      <c r="O27" s="236">
        <f t="shared" si="3"/>
        <v>284036</v>
      </c>
    </row>
    <row r="28" spans="1:15" ht="14.1" customHeight="1" thickTop="1" x14ac:dyDescent="0.2">
      <c r="C28" s="32"/>
      <c r="D28" s="55"/>
      <c r="E28" s="32"/>
      <c r="F28" s="55"/>
      <c r="G28" s="32"/>
      <c r="H28" s="55"/>
      <c r="I28" s="32"/>
      <c r="J28" s="55"/>
      <c r="K28" s="32"/>
      <c r="L28" s="55"/>
      <c r="M28" s="32"/>
      <c r="N28" s="55"/>
      <c r="O28" s="32"/>
    </row>
    <row r="29" spans="1:15" ht="14.1" customHeight="1" x14ac:dyDescent="0.2">
      <c r="C29" s="32"/>
      <c r="D29" s="55"/>
      <c r="E29" s="32"/>
      <c r="F29" s="55"/>
      <c r="G29" s="32"/>
      <c r="H29" s="55"/>
      <c r="I29" s="32"/>
      <c r="J29" s="55"/>
      <c r="K29" s="32"/>
      <c r="L29" s="55"/>
      <c r="M29" s="32"/>
      <c r="N29" s="55"/>
      <c r="O29" s="32"/>
    </row>
  </sheetData>
  <customSheetViews>
    <customSheetView guid="{EDC1BD6E-863A-4FC6-A3A9-F32079F4F0C1}">
      <selection activeCell="B25" sqref="B25"/>
      <pageMargins left="0.25" right="0.25" top="0.75" bottom="0.75" header="0.3" footer="0.3"/>
      <pageSetup paperSize="9" orientation="landscape" verticalDpi="0" r:id="rId1"/>
    </customSheetView>
  </customSheetViews>
  <pageMargins left="0.70866141732283472" right="0.70866141732283472" top="0.74803149606299213" bottom="0.74803149606299213" header="0.31496062992125984" footer="0.31496062992125984"/>
  <pageSetup paperSize="9" orientation="landscape" r:id="rId2"/>
  <headerFooter>
    <oddHeader>&amp;C&amp;10Hull University Teaching Hospitals NHS Trust - Annual Accounts 2018/19</oddHeader>
    <oddFooter>&amp;C&amp;10Page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X72"/>
  <sheetViews>
    <sheetView zoomScaleNormal="100" workbookViewId="0">
      <selection activeCell="K21" sqref="K21"/>
    </sheetView>
  </sheetViews>
  <sheetFormatPr defaultRowHeight="14.1" customHeight="1" x14ac:dyDescent="0.3"/>
  <cols>
    <col min="1" max="1" width="1.33203125" style="53" customWidth="1"/>
    <col min="2" max="2" width="61.88671875" customWidth="1"/>
    <col min="3" max="3" width="8.6640625" customWidth="1"/>
    <col min="4" max="4" width="2.6640625" customWidth="1"/>
    <col min="5" max="5" width="8.6640625" customWidth="1"/>
    <col min="7" max="24" width="9.109375" style="25"/>
  </cols>
  <sheetData>
    <row r="1" spans="1:24" s="41" customFormat="1" ht="14.1" customHeight="1" x14ac:dyDescent="0.3">
      <c r="A1" s="53">
        <f>ROUNDDOWN('PPE 2'!A16,0)+1</f>
        <v>15</v>
      </c>
      <c r="B1" s="477" t="str">
        <f>"Note " &amp;A1&amp; " Donations of property, plant and equipment"</f>
        <v>Note 15 Donations of property, plant and equipment</v>
      </c>
      <c r="G1" s="125"/>
      <c r="H1" s="125"/>
      <c r="I1" s="125"/>
      <c r="J1" s="125"/>
      <c r="K1" s="125"/>
      <c r="L1" s="125"/>
      <c r="M1" s="125"/>
      <c r="N1" s="125"/>
      <c r="O1" s="125"/>
      <c r="P1" s="125"/>
      <c r="Q1" s="125"/>
      <c r="R1" s="125"/>
      <c r="S1" s="125"/>
      <c r="T1" s="125"/>
      <c r="U1" s="125"/>
      <c r="V1" s="125"/>
      <c r="W1" s="125"/>
      <c r="X1" s="125"/>
    </row>
    <row r="2" spans="1:24" s="672" customFormat="1" ht="14.1" customHeight="1" x14ac:dyDescent="0.3">
      <c r="A2" s="655"/>
      <c r="B2" s="477"/>
      <c r="G2" s="767"/>
      <c r="H2" s="767"/>
      <c r="I2" s="767"/>
      <c r="J2" s="767"/>
      <c r="K2" s="767"/>
      <c r="L2" s="767"/>
      <c r="M2" s="767"/>
      <c r="N2" s="767"/>
      <c r="O2" s="767"/>
      <c r="P2" s="767"/>
      <c r="Q2" s="767"/>
      <c r="R2" s="767"/>
      <c r="S2" s="767"/>
      <c r="T2" s="767"/>
      <c r="U2" s="767"/>
      <c r="V2" s="767"/>
      <c r="W2" s="767"/>
      <c r="X2" s="767"/>
    </row>
    <row r="3" spans="1:24" s="41" customFormat="1" ht="38.4" customHeight="1" x14ac:dyDescent="0.3">
      <c r="A3" s="53"/>
      <c r="B3" s="910" t="s">
        <v>1131</v>
      </c>
      <c r="C3" s="910"/>
      <c r="D3" s="910"/>
      <c r="E3" s="910"/>
      <c r="F3" s="106"/>
      <c r="G3" s="125"/>
      <c r="H3" s="125"/>
      <c r="I3" s="125"/>
      <c r="J3" s="125"/>
      <c r="K3" s="125"/>
      <c r="L3" s="125"/>
      <c r="M3" s="125"/>
      <c r="N3" s="125"/>
      <c r="O3" s="125"/>
      <c r="P3" s="125"/>
      <c r="Q3" s="125"/>
      <c r="R3" s="125"/>
      <c r="S3" s="125"/>
      <c r="T3" s="125"/>
      <c r="U3" s="125"/>
      <c r="V3" s="125"/>
      <c r="W3" s="125"/>
      <c r="X3" s="125"/>
    </row>
    <row r="4" spans="1:24" s="672" customFormat="1" ht="13.95" customHeight="1" x14ac:dyDescent="0.3">
      <c r="A4" s="655"/>
      <c r="B4" s="730"/>
      <c r="C4" s="730"/>
      <c r="D4" s="730"/>
      <c r="E4" s="730"/>
      <c r="F4" s="682"/>
      <c r="G4" s="729"/>
      <c r="H4" s="729"/>
      <c r="I4" s="729"/>
      <c r="J4" s="729"/>
      <c r="K4" s="729"/>
      <c r="L4" s="729"/>
      <c r="M4" s="729"/>
      <c r="N4" s="729"/>
      <c r="O4" s="729"/>
      <c r="P4" s="729"/>
      <c r="Q4" s="729"/>
      <c r="R4" s="729"/>
      <c r="S4" s="729"/>
      <c r="T4" s="729"/>
      <c r="U4" s="729"/>
      <c r="V4" s="729"/>
      <c r="W4" s="729"/>
      <c r="X4" s="729"/>
    </row>
    <row r="5" spans="1:24" ht="14.1" customHeight="1" x14ac:dyDescent="0.3">
      <c r="A5" s="53">
        <f>ROUNDDOWN(A1,0)+1</f>
        <v>16</v>
      </c>
      <c r="B5" s="123" t="str">
        <f>"Note " &amp;A5&amp; " Revaluation and Impairment of property, plant and equipment"</f>
        <v>Note 16 Revaluation and Impairment of property, plant and equipment</v>
      </c>
      <c r="C5" s="25"/>
      <c r="D5" s="25"/>
      <c r="E5" s="25"/>
      <c r="F5" s="25"/>
    </row>
    <row r="6" spans="1:24" s="672" customFormat="1" ht="10.199999999999999" customHeight="1" x14ac:dyDescent="0.3">
      <c r="A6" s="655"/>
      <c r="B6" s="781"/>
      <c r="C6" s="767"/>
      <c r="D6" s="767"/>
      <c r="E6" s="767"/>
      <c r="F6" s="767"/>
      <c r="G6" s="767"/>
      <c r="H6" s="767"/>
      <c r="I6" s="767"/>
      <c r="J6" s="767"/>
      <c r="K6" s="767"/>
      <c r="L6" s="767"/>
      <c r="M6" s="767"/>
      <c r="N6" s="767"/>
      <c r="O6" s="767"/>
      <c r="P6" s="767"/>
      <c r="Q6" s="767"/>
      <c r="R6" s="767"/>
      <c r="S6" s="767"/>
      <c r="T6" s="767"/>
      <c r="U6" s="767"/>
      <c r="V6" s="767"/>
      <c r="W6" s="767"/>
      <c r="X6" s="767"/>
    </row>
    <row r="7" spans="1:24" s="25" customFormat="1" ht="13.95" customHeight="1" x14ac:dyDescent="0.2">
      <c r="A7" s="52"/>
      <c r="B7" s="910" t="s">
        <v>1212</v>
      </c>
      <c r="C7" s="910"/>
      <c r="D7" s="910"/>
      <c r="E7" s="910"/>
      <c r="F7" s="106"/>
    </row>
    <row r="8" spans="1:24" s="125" customFormat="1" ht="14.1" customHeight="1" x14ac:dyDescent="0.2">
      <c r="A8" s="52"/>
      <c r="B8" s="910"/>
      <c r="C8" s="910"/>
      <c r="D8" s="910"/>
      <c r="E8" s="910"/>
      <c r="F8" s="106"/>
    </row>
    <row r="9" spans="1:24" s="25" customFormat="1" ht="4.2" customHeight="1" x14ac:dyDescent="0.2">
      <c r="A9" s="52"/>
      <c r="B9" s="910"/>
      <c r="C9" s="910"/>
      <c r="D9" s="910"/>
      <c r="E9" s="910"/>
      <c r="F9" s="106"/>
    </row>
    <row r="10" spans="1:24" s="25" customFormat="1" ht="1.95" customHeight="1" x14ac:dyDescent="0.2">
      <c r="A10" s="52"/>
      <c r="B10" s="910"/>
      <c r="C10" s="910"/>
      <c r="D10" s="910"/>
      <c r="E10" s="910"/>
      <c r="F10" s="106"/>
    </row>
    <row r="11" spans="1:24" s="25" customFormat="1" ht="10.95" hidden="1" customHeight="1" x14ac:dyDescent="0.2">
      <c r="A11" s="52"/>
      <c r="B11" s="910"/>
      <c r="C11" s="910"/>
      <c r="D11" s="910"/>
      <c r="E11" s="910"/>
      <c r="F11" s="106"/>
    </row>
    <row r="12" spans="1:24" s="25" customFormat="1" ht="13.95" hidden="1" customHeight="1" x14ac:dyDescent="0.2">
      <c r="A12" s="52"/>
      <c r="B12" s="910"/>
      <c r="C12" s="910"/>
      <c r="D12" s="910"/>
      <c r="E12" s="910"/>
      <c r="F12" s="106"/>
    </row>
    <row r="13" spans="1:24" s="729" customFormat="1" ht="10.95" customHeight="1" x14ac:dyDescent="0.2">
      <c r="A13" s="722"/>
      <c r="B13" s="730"/>
      <c r="C13" s="730"/>
      <c r="D13" s="730"/>
      <c r="E13" s="730"/>
      <c r="F13" s="682"/>
    </row>
    <row r="14" spans="1:24" s="125" customFormat="1" ht="13.95" customHeight="1" x14ac:dyDescent="0.2">
      <c r="A14" s="52"/>
      <c r="B14" s="910" t="s">
        <v>1130</v>
      </c>
      <c r="C14" s="910"/>
      <c r="D14" s="910"/>
      <c r="E14" s="910"/>
      <c r="F14" s="106"/>
    </row>
    <row r="15" spans="1:24" s="125" customFormat="1" ht="13.95" customHeight="1" x14ac:dyDescent="0.2">
      <c r="A15" s="52"/>
      <c r="B15" s="910"/>
      <c r="C15" s="910"/>
      <c r="D15" s="910"/>
      <c r="E15" s="910"/>
      <c r="F15" s="106"/>
    </row>
    <row r="16" spans="1:24" s="125" customFormat="1" ht="10.95" customHeight="1" x14ac:dyDescent="0.2">
      <c r="A16" s="52"/>
      <c r="B16" s="910"/>
      <c r="C16" s="910"/>
      <c r="D16" s="910"/>
      <c r="E16" s="910"/>
      <c r="F16" s="106"/>
    </row>
    <row r="17" spans="1:11" s="125" customFormat="1" ht="5.4" customHeight="1" x14ac:dyDescent="0.2">
      <c r="A17" s="52"/>
      <c r="B17" s="910"/>
      <c r="C17" s="910"/>
      <c r="D17" s="910"/>
      <c r="E17" s="910"/>
      <c r="F17" s="106"/>
    </row>
    <row r="18" spans="1:11" s="125" customFormat="1" ht="13.95" hidden="1" customHeight="1" x14ac:dyDescent="0.2">
      <c r="A18" s="52"/>
      <c r="B18" s="910"/>
      <c r="C18" s="910"/>
      <c r="D18" s="910"/>
      <c r="E18" s="910"/>
      <c r="F18" s="106"/>
    </row>
    <row r="19" spans="1:11" s="125" customFormat="1" ht="13.95" hidden="1" customHeight="1" x14ac:dyDescent="0.2">
      <c r="A19" s="52"/>
      <c r="B19" s="910"/>
      <c r="C19" s="910"/>
      <c r="D19" s="910"/>
      <c r="E19" s="910"/>
      <c r="F19" s="106"/>
    </row>
    <row r="20" spans="1:11" s="800" customFormat="1" ht="10.199999999999999" customHeight="1" x14ac:dyDescent="0.2">
      <c r="A20" s="722"/>
      <c r="B20" s="802"/>
      <c r="C20" s="802"/>
      <c r="D20" s="802"/>
      <c r="E20" s="802"/>
      <c r="F20" s="682"/>
    </row>
    <row r="21" spans="1:11" s="767" customFormat="1" ht="46.2" customHeight="1" x14ac:dyDescent="0.3">
      <c r="A21" s="722"/>
      <c r="B21" s="915" t="s">
        <v>1235</v>
      </c>
      <c r="C21" s="935"/>
      <c r="D21" s="935"/>
      <c r="E21" s="935"/>
      <c r="F21" s="682"/>
      <c r="G21" s="800"/>
    </row>
    <row r="22" spans="1:11" s="800" customFormat="1" ht="3" customHeight="1" x14ac:dyDescent="0.3">
      <c r="A22" s="722"/>
      <c r="B22" s="925"/>
      <c r="C22" s="923"/>
      <c r="D22" s="923"/>
      <c r="E22" s="923"/>
      <c r="F22" s="573"/>
      <c r="G22" s="573"/>
    </row>
    <row r="23" spans="1:11" s="25" customFormat="1" ht="16.2" customHeight="1" x14ac:dyDescent="0.25">
      <c r="A23" s="52">
        <f>ROUNDDOWN('PPE, Inv Prop'!A5,0)+1</f>
        <v>17</v>
      </c>
      <c r="B23" s="915" t="s">
        <v>1223</v>
      </c>
      <c r="C23" s="915"/>
      <c r="D23" s="915"/>
      <c r="E23" s="915"/>
      <c r="F23" s="178"/>
      <c r="G23" s="26"/>
    </row>
    <row r="24" spans="1:11" s="800" customFormat="1" ht="21" customHeight="1" x14ac:dyDescent="0.25">
      <c r="A24" s="722">
        <v>17</v>
      </c>
      <c r="B24" s="804" t="str">
        <f>"Note " &amp;A24&amp; " Investment Property"</f>
        <v>Note 17 Investment Property</v>
      </c>
      <c r="C24" s="801"/>
      <c r="D24" s="801"/>
      <c r="E24" s="801"/>
      <c r="F24" s="803"/>
      <c r="G24" s="676"/>
    </row>
    <row r="25" spans="1:11" s="470" customFormat="1" ht="34.950000000000003" customHeight="1" x14ac:dyDescent="0.25">
      <c r="A25" s="467"/>
      <c r="B25" s="938" t="s">
        <v>1193</v>
      </c>
      <c r="C25" s="938"/>
      <c r="D25" s="938"/>
      <c r="E25" s="938"/>
      <c r="F25" s="471"/>
      <c r="G25" s="473"/>
      <c r="H25" s="473"/>
    </row>
    <row r="26" spans="1:11" s="729" customFormat="1" ht="7.95" customHeight="1" x14ac:dyDescent="0.25">
      <c r="A26" s="722"/>
      <c r="B26" s="736"/>
      <c r="C26" s="736"/>
      <c r="D26" s="736"/>
      <c r="E26" s="736"/>
      <c r="F26" s="735"/>
      <c r="G26" s="676"/>
      <c r="H26" s="676"/>
    </row>
    <row r="27" spans="1:11" s="25" customFormat="1" ht="7.95" customHeight="1" x14ac:dyDescent="0.25">
      <c r="A27" s="52"/>
      <c r="B27" s="115"/>
      <c r="D27" s="178"/>
      <c r="E27" s="178"/>
      <c r="F27" s="178"/>
      <c r="G27" s="347"/>
      <c r="H27" s="267"/>
    </row>
    <row r="28" spans="1:11" s="25" customFormat="1" ht="14.1" customHeight="1" x14ac:dyDescent="0.25">
      <c r="A28" s="52">
        <f>A23+1</f>
        <v>18</v>
      </c>
      <c r="B28" s="740" t="str">
        <f>"Note "&amp;A28&amp;" Disclosure of interests in other entities"</f>
        <v>Note 18 Disclosure of interests in other entities</v>
      </c>
      <c r="D28" s="35"/>
      <c r="E28" s="35"/>
      <c r="F28" s="35"/>
      <c r="G28" s="267"/>
      <c r="H28" s="46"/>
      <c r="I28" s="26"/>
      <c r="J28" s="26"/>
      <c r="K28" s="26"/>
    </row>
    <row r="29" spans="1:11" s="25" customFormat="1" ht="51" customHeight="1" x14ac:dyDescent="0.2">
      <c r="A29" s="52"/>
      <c r="B29" s="930" t="s">
        <v>1112</v>
      </c>
      <c r="C29" s="930"/>
      <c r="D29" s="930"/>
      <c r="E29" s="930"/>
      <c r="H29" s="26"/>
      <c r="I29" s="26"/>
      <c r="J29" s="26"/>
      <c r="K29" s="26"/>
    </row>
    <row r="30" spans="1:11" s="25" customFormat="1" ht="7.95" customHeight="1" x14ac:dyDescent="0.25">
      <c r="A30" s="52"/>
      <c r="C30" s="113"/>
      <c r="D30" s="179"/>
      <c r="E30" s="113"/>
      <c r="H30" s="26"/>
      <c r="I30" s="26"/>
      <c r="J30" s="26"/>
      <c r="K30" s="26"/>
    </row>
    <row r="31" spans="1:11" s="25" customFormat="1" ht="34.200000000000003" customHeight="1" x14ac:dyDescent="0.2">
      <c r="A31" s="52"/>
      <c r="B31" s="930" t="s">
        <v>1025</v>
      </c>
      <c r="C31" s="930"/>
      <c r="D31" s="930"/>
      <c r="E31" s="930"/>
      <c r="H31" s="26"/>
      <c r="I31" s="26"/>
      <c r="J31" s="26"/>
      <c r="K31" s="26"/>
    </row>
    <row r="32" spans="1:11" s="25" customFormat="1" ht="18.600000000000001" customHeight="1" x14ac:dyDescent="0.2">
      <c r="A32" s="52"/>
      <c r="B32" s="197"/>
      <c r="C32" s="685"/>
      <c r="D32" s="685"/>
      <c r="E32" s="685"/>
      <c r="H32" s="26"/>
      <c r="I32" s="26"/>
      <c r="J32" s="26"/>
      <c r="K32" s="26"/>
    </row>
    <row r="33" spans="1:11" s="25" customFormat="1" ht="14.1" customHeight="1" x14ac:dyDescent="0.25">
      <c r="A33" s="52">
        <f>A28+1</f>
        <v>19</v>
      </c>
      <c r="B33" s="745"/>
      <c r="C33" s="684"/>
      <c r="D33" s="685"/>
      <c r="E33" s="684"/>
      <c r="H33" s="26"/>
      <c r="I33" s="26"/>
      <c r="J33" s="26"/>
      <c r="K33" s="26"/>
    </row>
    <row r="34" spans="1:11" s="25" customFormat="1" ht="14.1" customHeight="1" x14ac:dyDescent="0.25">
      <c r="A34" s="52"/>
      <c r="B34" s="795"/>
      <c r="C34" s="136"/>
      <c r="D34" s="136"/>
      <c r="E34" s="763"/>
    </row>
    <row r="35" spans="1:11" s="25" customFormat="1" ht="14.1" customHeight="1" x14ac:dyDescent="0.25">
      <c r="A35" s="52"/>
      <c r="B35" s="679"/>
      <c r="C35" s="136"/>
      <c r="D35" s="136"/>
      <c r="E35" s="763"/>
    </row>
    <row r="36" spans="1:11" s="25" customFormat="1" ht="14.1" customHeight="1" x14ac:dyDescent="0.2">
      <c r="A36" s="52"/>
      <c r="B36" s="749"/>
      <c r="C36" s="685"/>
      <c r="D36" s="685"/>
      <c r="E36" s="762"/>
    </row>
    <row r="37" spans="1:11" s="25" customFormat="1" ht="14.1" customHeight="1" x14ac:dyDescent="0.2">
      <c r="A37" s="52"/>
      <c r="B37" s="749"/>
      <c r="C37" s="685"/>
      <c r="D37" s="685"/>
      <c r="E37" s="762"/>
    </row>
    <row r="38" spans="1:11" s="25" customFormat="1" ht="14.1" customHeight="1" x14ac:dyDescent="0.2">
      <c r="A38" s="52"/>
      <c r="B38" s="749"/>
      <c r="C38" s="685"/>
      <c r="D38" s="685"/>
      <c r="E38" s="762"/>
    </row>
    <row r="39" spans="1:11" s="25" customFormat="1" ht="14.1" customHeight="1" x14ac:dyDescent="0.2">
      <c r="A39" s="52"/>
      <c r="B39" s="749"/>
      <c r="C39" s="685"/>
      <c r="D39" s="685"/>
      <c r="E39" s="762"/>
    </row>
    <row r="40" spans="1:11" s="25" customFormat="1" ht="14.1" customHeight="1" x14ac:dyDescent="0.2">
      <c r="A40" s="52"/>
      <c r="B40" s="749"/>
      <c r="C40" s="685"/>
      <c r="D40" s="685"/>
      <c r="E40" s="762"/>
    </row>
    <row r="41" spans="1:11" s="25" customFormat="1" ht="14.1" customHeight="1" x14ac:dyDescent="0.25">
      <c r="A41" s="52"/>
      <c r="B41" s="744"/>
      <c r="C41" s="684"/>
      <c r="D41" s="685"/>
      <c r="E41" s="758"/>
    </row>
    <row r="42" spans="1:11" s="25" customFormat="1" ht="14.1" customHeight="1" x14ac:dyDescent="0.2">
      <c r="A42" s="52"/>
    </row>
    <row r="43" spans="1:11" s="25" customFormat="1" ht="22.95" customHeight="1" x14ac:dyDescent="0.2">
      <c r="A43" s="52"/>
      <c r="B43" s="930"/>
      <c r="C43" s="930"/>
      <c r="D43" s="930"/>
      <c r="E43" s="930"/>
    </row>
    <row r="44" spans="1:11" s="25" customFormat="1" ht="4.95" customHeight="1" x14ac:dyDescent="0.2">
      <c r="A44" s="52"/>
      <c r="B44" s="937"/>
      <c r="C44" s="937"/>
      <c r="D44" s="937"/>
      <c r="E44" s="937"/>
    </row>
    <row r="45" spans="1:11" s="25" customFormat="1" ht="27.6" customHeight="1" x14ac:dyDescent="0.2">
      <c r="A45" s="52"/>
      <c r="B45" s="937"/>
      <c r="C45" s="937"/>
      <c r="D45" s="937"/>
      <c r="E45" s="937"/>
    </row>
    <row r="46" spans="1:11" s="25" customFormat="1" ht="1.2" customHeight="1" x14ac:dyDescent="0.2">
      <c r="A46" s="52"/>
      <c r="B46" s="937"/>
      <c r="C46" s="937"/>
      <c r="D46" s="937"/>
      <c r="E46" s="937"/>
    </row>
    <row r="47" spans="1:11" s="25" customFormat="1" ht="14.1" customHeight="1" x14ac:dyDescent="0.2">
      <c r="A47" s="52"/>
    </row>
    <row r="48" spans="1:11" s="25" customFormat="1" ht="14.1" customHeight="1" x14ac:dyDescent="0.2">
      <c r="A48" s="52"/>
    </row>
    <row r="49" spans="1:1" s="25" customFormat="1" ht="14.1" customHeight="1" x14ac:dyDescent="0.2">
      <c r="A49" s="52"/>
    </row>
    <row r="50" spans="1:1" s="25" customFormat="1" ht="14.1" customHeight="1" x14ac:dyDescent="0.2">
      <c r="A50" s="52"/>
    </row>
    <row r="51" spans="1:1" s="25" customFormat="1" ht="14.1" customHeight="1" x14ac:dyDescent="0.2">
      <c r="A51" s="52"/>
    </row>
    <row r="52" spans="1:1" s="25" customFormat="1" ht="14.1" customHeight="1" x14ac:dyDescent="0.2">
      <c r="A52" s="52"/>
    </row>
    <row r="53" spans="1:1" s="25" customFormat="1" ht="14.1" customHeight="1" x14ac:dyDescent="0.2">
      <c r="A53" s="52"/>
    </row>
    <row r="54" spans="1:1" s="25" customFormat="1" ht="14.1" customHeight="1" x14ac:dyDescent="0.2">
      <c r="A54" s="52"/>
    </row>
    <row r="55" spans="1:1" s="25" customFormat="1" ht="14.1" customHeight="1" x14ac:dyDescent="0.2">
      <c r="A55" s="52"/>
    </row>
    <row r="56" spans="1:1" s="25" customFormat="1" ht="14.1" customHeight="1" x14ac:dyDescent="0.2">
      <c r="A56" s="52"/>
    </row>
    <row r="57" spans="1:1" s="25" customFormat="1" ht="14.1" customHeight="1" x14ac:dyDescent="0.2">
      <c r="A57" s="52"/>
    </row>
    <row r="58" spans="1:1" s="25" customFormat="1" ht="14.1" customHeight="1" x14ac:dyDescent="0.2">
      <c r="A58" s="52"/>
    </row>
    <row r="59" spans="1:1" s="25" customFormat="1" ht="14.1" customHeight="1" x14ac:dyDescent="0.2">
      <c r="A59" s="52"/>
    </row>
    <row r="60" spans="1:1" s="25" customFormat="1" ht="14.1" customHeight="1" x14ac:dyDescent="0.2">
      <c r="A60" s="52"/>
    </row>
    <row r="61" spans="1:1" s="25" customFormat="1" ht="14.1" customHeight="1" x14ac:dyDescent="0.2">
      <c r="A61" s="52"/>
    </row>
    <row r="62" spans="1:1" s="25" customFormat="1" ht="14.1" customHeight="1" x14ac:dyDescent="0.2">
      <c r="A62" s="52"/>
    </row>
    <row r="63" spans="1:1" s="25" customFormat="1" ht="14.1" customHeight="1" x14ac:dyDescent="0.2">
      <c r="A63" s="52"/>
    </row>
    <row r="64" spans="1:1" s="25" customFormat="1" ht="14.1" customHeight="1" x14ac:dyDescent="0.2">
      <c r="A64" s="52"/>
    </row>
    <row r="65" spans="1:1" s="25" customFormat="1" ht="14.1" customHeight="1" x14ac:dyDescent="0.2">
      <c r="A65" s="52"/>
    </row>
    <row r="66" spans="1:1" s="25" customFormat="1" ht="14.1" customHeight="1" x14ac:dyDescent="0.2">
      <c r="A66" s="52"/>
    </row>
    <row r="67" spans="1:1" s="25" customFormat="1" ht="14.1" customHeight="1" x14ac:dyDescent="0.2">
      <c r="A67" s="52"/>
    </row>
    <row r="68" spans="1:1" s="25" customFormat="1" ht="14.1" customHeight="1" x14ac:dyDescent="0.2">
      <c r="A68" s="52"/>
    </row>
    <row r="69" spans="1:1" s="25" customFormat="1" ht="14.1" customHeight="1" x14ac:dyDescent="0.2">
      <c r="A69" s="52"/>
    </row>
    <row r="70" spans="1:1" s="25" customFormat="1" ht="14.1" customHeight="1" x14ac:dyDescent="0.2">
      <c r="A70" s="52"/>
    </row>
    <row r="71" spans="1:1" s="25" customFormat="1" ht="14.1" customHeight="1" x14ac:dyDescent="0.2">
      <c r="A71" s="52"/>
    </row>
    <row r="72" spans="1:1" s="25" customFormat="1" ht="14.1" customHeight="1" x14ac:dyDescent="0.2">
      <c r="A72" s="52"/>
    </row>
  </sheetData>
  <customSheetViews>
    <customSheetView guid="{EDC1BD6E-863A-4FC6-A3A9-F32079F4F0C1}">
      <selection activeCell="F28" sqref="F28"/>
      <pageMargins left="0.7" right="0.7" top="0.75" bottom="0.75" header="0.3" footer="0.3"/>
      <pageSetup paperSize="9" orientation="portrait" verticalDpi="0" r:id="rId1"/>
    </customSheetView>
  </customSheetViews>
  <mergeCells count="11">
    <mergeCell ref="B44:E46"/>
    <mergeCell ref="B25:E25"/>
    <mergeCell ref="B14:E19"/>
    <mergeCell ref="B7:E12"/>
    <mergeCell ref="B3:E3"/>
    <mergeCell ref="B29:E29"/>
    <mergeCell ref="B31:E31"/>
    <mergeCell ref="B43:E43"/>
    <mergeCell ref="B21:E21"/>
    <mergeCell ref="B22:E22"/>
    <mergeCell ref="B23:E23"/>
  </mergeCells>
  <pageMargins left="0.70866141732283472" right="0.70866141732283472" top="0.74803149606299213" bottom="0.74803149606299213" header="0.31496062992125984" footer="0.31496062992125984"/>
  <pageSetup paperSize="9" orientation="portrait" r:id="rId2"/>
  <headerFooter>
    <oddHeader>&amp;C&amp;10Hull University Teaching Hospitals NHS Trust - Annual Accounts 2018/19</oddHeader>
    <oddFooter>&amp;C&amp;10Page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H43"/>
  <sheetViews>
    <sheetView topLeftCell="A25" zoomScaleNormal="100" workbookViewId="0">
      <selection activeCell="C33" sqref="C33"/>
    </sheetView>
  </sheetViews>
  <sheetFormatPr defaultColWidth="9.109375" defaultRowHeight="14.1" customHeight="1" x14ac:dyDescent="0.2"/>
  <cols>
    <col min="1" max="1" width="2" style="52" customWidth="1"/>
    <col min="2" max="2" width="61.88671875" style="25" customWidth="1"/>
    <col min="3" max="3" width="8.6640625" style="25" customWidth="1"/>
    <col min="4" max="4" width="2.6640625" style="25" customWidth="1"/>
    <col min="5" max="5" width="8.6640625" style="602" customWidth="1"/>
    <col min="6" max="16384" width="9.109375" style="25"/>
  </cols>
  <sheetData>
    <row r="1" spans="1:5" s="767" customFormat="1" ht="14.1" customHeight="1" x14ac:dyDescent="0.25">
      <c r="A1" s="722">
        <f>'PPE, Inv Prop'!A28+1</f>
        <v>19</v>
      </c>
      <c r="B1" s="777" t="str">
        <f>"Note "&amp;A1&amp; " Inventories"</f>
        <v>Note 19 Inventories</v>
      </c>
      <c r="E1" s="602"/>
    </row>
    <row r="2" spans="1:5" s="767" customFormat="1" ht="14.1" customHeight="1" x14ac:dyDescent="0.25">
      <c r="A2" s="722"/>
      <c r="B2" s="777"/>
      <c r="E2" s="602"/>
    </row>
    <row r="3" spans="1:5" s="767" customFormat="1" ht="14.1" customHeight="1" x14ac:dyDescent="0.25">
      <c r="A3" s="722"/>
      <c r="B3" s="779"/>
      <c r="C3" s="778" t="str">
        <f>TEXT(CurrentYearEnd, "d mmmm yyyy")</f>
        <v>31 March 2019</v>
      </c>
      <c r="D3" s="778"/>
      <c r="E3" s="664" t="str">
        <f>TEXT(ComparativeYearEnd, "d mmmm yyyy")</f>
        <v>31 March 2018</v>
      </c>
    </row>
    <row r="4" spans="1:5" s="767" customFormat="1" ht="15" customHeight="1" x14ac:dyDescent="0.25">
      <c r="A4" s="722"/>
      <c r="C4" s="778" t="s">
        <v>283</v>
      </c>
      <c r="D4" s="778"/>
      <c r="E4" s="664" t="s">
        <v>283</v>
      </c>
    </row>
    <row r="5" spans="1:5" s="767" customFormat="1" ht="14.1" customHeight="1" x14ac:dyDescent="0.2">
      <c r="A5" s="722"/>
      <c r="B5" s="780" t="s">
        <v>375</v>
      </c>
      <c r="C5" s="670">
        <v>3773</v>
      </c>
      <c r="D5" s="670"/>
      <c r="E5" s="671">
        <v>3457</v>
      </c>
    </row>
    <row r="6" spans="1:5" s="767" customFormat="1" ht="14.1" customHeight="1" x14ac:dyDescent="0.2">
      <c r="A6" s="722"/>
      <c r="B6" s="780" t="s">
        <v>376</v>
      </c>
      <c r="C6" s="670">
        <v>8755</v>
      </c>
      <c r="D6" s="670"/>
      <c r="E6" s="671">
        <v>8603</v>
      </c>
    </row>
    <row r="7" spans="1:5" s="767" customFormat="1" ht="14.1" customHeight="1" x14ac:dyDescent="0.2">
      <c r="A7" s="722"/>
      <c r="B7" s="780"/>
      <c r="C7" s="670"/>
      <c r="D7" s="670"/>
      <c r="E7" s="671"/>
    </row>
    <row r="8" spans="1:5" s="767" customFormat="1" ht="14.1" customHeight="1" thickBot="1" x14ac:dyDescent="0.3">
      <c r="A8" s="722"/>
      <c r="B8" s="781" t="s">
        <v>377</v>
      </c>
      <c r="C8" s="658">
        <f>SUM(C5:C7)</f>
        <v>12528</v>
      </c>
      <c r="D8" s="670"/>
      <c r="E8" s="622">
        <f>SUM(E5:E7)</f>
        <v>12060</v>
      </c>
    </row>
    <row r="9" spans="1:5" s="767" customFormat="1" ht="14.1" customHeight="1" thickTop="1" x14ac:dyDescent="0.25">
      <c r="A9" s="722"/>
      <c r="B9" s="781"/>
      <c r="C9" s="515"/>
      <c r="D9" s="670"/>
      <c r="E9" s="638"/>
    </row>
    <row r="10" spans="1:5" s="767" customFormat="1" ht="45" customHeight="1" x14ac:dyDescent="0.2">
      <c r="A10" s="722"/>
      <c r="B10" s="939" t="s">
        <v>1110</v>
      </c>
      <c r="C10" s="939"/>
      <c r="D10" s="939"/>
      <c r="E10" s="939"/>
    </row>
    <row r="11" spans="1:5" s="767" customFormat="1" ht="14.1" customHeight="1" x14ac:dyDescent="0.2">
      <c r="A11" s="722"/>
      <c r="B11" s="774"/>
      <c r="C11" s="774"/>
      <c r="D11" s="774"/>
      <c r="E11" s="774"/>
    </row>
    <row r="12" spans="1:5" s="767" customFormat="1" ht="14.1" customHeight="1" x14ac:dyDescent="0.2">
      <c r="A12" s="722"/>
      <c r="B12" s="774"/>
      <c r="C12" s="774"/>
      <c r="D12" s="774"/>
      <c r="E12" s="774"/>
    </row>
    <row r="13" spans="1:5" ht="14.1" customHeight="1" x14ac:dyDescent="0.25">
      <c r="A13" s="52">
        <f>A1+1.1</f>
        <v>20.100000000000001</v>
      </c>
      <c r="B13" s="119" t="str">
        <f>"Note "&amp;A13&amp; " Trade receivables and other receivables"</f>
        <v>Note 20.1 Trade receivables and other receivables</v>
      </c>
      <c r="C13" s="120"/>
      <c r="D13" s="120"/>
      <c r="E13" s="637"/>
    </row>
    <row r="14" spans="1:5" ht="23.4" customHeight="1" x14ac:dyDescent="0.25">
      <c r="C14" s="117" t="str">
        <f>TEXT(CurrentYearEnd, "d mmmm yyyy")</f>
        <v>31 March 2019</v>
      </c>
      <c r="D14" s="117"/>
      <c r="E14" s="624" t="str">
        <f>TEXT(ComparativeYearEnd, "d mmmm yyyy")</f>
        <v>31 March 2018</v>
      </c>
    </row>
    <row r="15" spans="1:5" ht="14.1" customHeight="1" x14ac:dyDescent="0.25">
      <c r="C15" s="117" t="s">
        <v>283</v>
      </c>
      <c r="D15" s="117"/>
      <c r="E15" s="624" t="s">
        <v>283</v>
      </c>
    </row>
    <row r="16" spans="1:5" ht="14.1" customHeight="1" x14ac:dyDescent="0.25">
      <c r="B16" s="119" t="s">
        <v>378</v>
      </c>
      <c r="C16" s="30"/>
      <c r="D16" s="30"/>
      <c r="E16" s="818"/>
    </row>
    <row r="17" spans="1:7" s="293" customFormat="1" ht="19.95" customHeight="1" x14ac:dyDescent="0.2">
      <c r="A17" s="257"/>
      <c r="B17" s="294" t="s">
        <v>1173</v>
      </c>
      <c r="C17" s="258">
        <f>37218+6028</f>
        <v>43246</v>
      </c>
      <c r="D17" s="258"/>
      <c r="E17" s="620" t="s">
        <v>1135</v>
      </c>
    </row>
    <row r="18" spans="1:7" ht="14.1" customHeight="1" x14ac:dyDescent="0.2">
      <c r="B18" s="137" t="s">
        <v>1136</v>
      </c>
      <c r="C18" s="62" t="s">
        <v>1135</v>
      </c>
      <c r="D18" s="62"/>
      <c r="E18" s="620">
        <v>20250</v>
      </c>
    </row>
    <row r="19" spans="1:7" ht="14.1" customHeight="1" x14ac:dyDescent="0.2">
      <c r="B19" s="137" t="s">
        <v>1174</v>
      </c>
      <c r="C19" s="258" t="s">
        <v>1135</v>
      </c>
      <c r="D19" s="62"/>
      <c r="E19" s="620">
        <v>4903</v>
      </c>
      <c r="F19" s="26"/>
    </row>
    <row r="20" spans="1:7" s="293" customFormat="1" ht="14.1" customHeight="1" x14ac:dyDescent="0.2">
      <c r="A20" s="257"/>
      <c r="B20" s="294" t="s">
        <v>900</v>
      </c>
      <c r="C20" s="258">
        <v>-954</v>
      </c>
      <c r="D20" s="258"/>
      <c r="E20" s="620">
        <v>-936</v>
      </c>
      <c r="F20" s="292"/>
    </row>
    <row r="21" spans="1:7" ht="14.1" customHeight="1" x14ac:dyDescent="0.2">
      <c r="B21" s="137" t="s">
        <v>851</v>
      </c>
      <c r="C21" s="62">
        <v>4611</v>
      </c>
      <c r="D21" s="62"/>
      <c r="E21" s="620">
        <v>2356</v>
      </c>
      <c r="F21" s="26"/>
      <c r="G21" s="219"/>
    </row>
    <row r="22" spans="1:7" ht="14.1" customHeight="1" x14ac:dyDescent="0.2">
      <c r="B22" s="137" t="s">
        <v>379</v>
      </c>
      <c r="C22" s="258">
        <v>201</v>
      </c>
      <c r="D22" s="62"/>
      <c r="E22" s="620">
        <v>137</v>
      </c>
    </row>
    <row r="23" spans="1:7" ht="14.1" customHeight="1" x14ac:dyDescent="0.2">
      <c r="B23" s="137" t="s">
        <v>380</v>
      </c>
      <c r="C23" s="258">
        <v>1467</v>
      </c>
      <c r="D23" s="62"/>
      <c r="E23" s="620">
        <v>1481</v>
      </c>
    </row>
    <row r="24" spans="1:7" ht="14.1" customHeight="1" x14ac:dyDescent="0.2">
      <c r="B24" s="137" t="s">
        <v>388</v>
      </c>
      <c r="C24" s="258">
        <f>7544-50-6028</f>
        <v>1466</v>
      </c>
      <c r="D24" s="62"/>
      <c r="E24" s="620">
        <v>3463</v>
      </c>
    </row>
    <row r="25" spans="1:7" s="814" customFormat="1" ht="14.1" customHeight="1" x14ac:dyDescent="0.2">
      <c r="A25" s="722"/>
      <c r="B25" s="816"/>
      <c r="C25" s="670"/>
      <c r="D25" s="670"/>
      <c r="E25" s="671"/>
    </row>
    <row r="26" spans="1:7" ht="14.1" customHeight="1" x14ac:dyDescent="0.25">
      <c r="B26" s="123" t="s">
        <v>381</v>
      </c>
      <c r="C26" s="819">
        <f>SUM(C17:C24)</f>
        <v>50037</v>
      </c>
      <c r="D26" s="685"/>
      <c r="E26" s="820">
        <f>SUM(E16:E24)</f>
        <v>31654</v>
      </c>
      <c r="G26" s="216"/>
    </row>
    <row r="27" spans="1:7" ht="9.6" customHeight="1" x14ac:dyDescent="0.2">
      <c r="C27" s="32"/>
      <c r="D27" s="32"/>
      <c r="E27" s="550"/>
    </row>
    <row r="28" spans="1:7" ht="27.6" customHeight="1" x14ac:dyDescent="0.25">
      <c r="B28" s="119" t="s">
        <v>383</v>
      </c>
      <c r="C28" s="30"/>
      <c r="D28" s="30"/>
      <c r="E28" s="600"/>
    </row>
    <row r="29" spans="1:7" s="814" customFormat="1" ht="11.4" customHeight="1" x14ac:dyDescent="0.25">
      <c r="A29" s="722"/>
      <c r="B29" s="815"/>
      <c r="C29" s="600"/>
      <c r="D29" s="600"/>
      <c r="E29" s="600"/>
    </row>
    <row r="30" spans="1:7" ht="15" customHeight="1" x14ac:dyDescent="0.2">
      <c r="B30" s="294" t="s">
        <v>1239</v>
      </c>
      <c r="C30" s="258">
        <v>3404</v>
      </c>
      <c r="D30" s="62"/>
      <c r="E30" s="620" t="s">
        <v>1135</v>
      </c>
      <c r="F30" s="26"/>
    </row>
    <row r="31" spans="1:7" s="814" customFormat="1" ht="15" customHeight="1" x14ac:dyDescent="0.2">
      <c r="A31" s="722"/>
      <c r="B31" s="816" t="s">
        <v>1136</v>
      </c>
      <c r="C31" s="670" t="s">
        <v>1135</v>
      </c>
      <c r="D31" s="670"/>
      <c r="E31" s="671">
        <v>255</v>
      </c>
      <c r="F31" s="676"/>
    </row>
    <row r="32" spans="1:7" s="293" customFormat="1" ht="14.1" customHeight="1" x14ac:dyDescent="0.2">
      <c r="A32" s="257"/>
      <c r="B32" s="294" t="s">
        <v>900</v>
      </c>
      <c r="C32" s="258">
        <v>-799</v>
      </c>
      <c r="D32" s="258"/>
      <c r="E32" s="620">
        <v>-721</v>
      </c>
      <c r="F32" s="292"/>
    </row>
    <row r="33" spans="1:8" ht="12.6" customHeight="1" x14ac:dyDescent="0.2">
      <c r="B33" s="137" t="s">
        <v>388</v>
      </c>
      <c r="C33" s="258">
        <v>315</v>
      </c>
      <c r="D33" s="62"/>
      <c r="E33" s="620">
        <v>3370</v>
      </c>
    </row>
    <row r="34" spans="1:8" s="814" customFormat="1" ht="12.6" customHeight="1" x14ac:dyDescent="0.2">
      <c r="A34" s="722"/>
      <c r="B34" s="816"/>
      <c r="C34" s="670"/>
      <c r="D34" s="670"/>
      <c r="E34" s="671"/>
    </row>
    <row r="35" spans="1:8" ht="13.95" customHeight="1" x14ac:dyDescent="0.25">
      <c r="B35" s="123" t="s">
        <v>382</v>
      </c>
      <c r="C35" s="819">
        <f>SUM(C30:C33)</f>
        <v>2920</v>
      </c>
      <c r="D35" s="685"/>
      <c r="E35" s="820">
        <f>SUM(E30:E33)</f>
        <v>2904</v>
      </c>
      <c r="F35" s="679"/>
    </row>
    <row r="36" spans="1:8" s="225" customFormat="1" ht="24.6" customHeight="1" x14ac:dyDescent="0.25">
      <c r="A36" s="52"/>
      <c r="B36" s="226"/>
      <c r="C36" s="684"/>
      <c r="D36" s="227"/>
      <c r="E36" s="758"/>
      <c r="G36" s="230"/>
    </row>
    <row r="37" spans="1:8" s="814" customFormat="1" ht="14.1" customHeight="1" thickBot="1" x14ac:dyDescent="0.3">
      <c r="A37" s="722"/>
      <c r="B37" s="817"/>
      <c r="C37" s="522">
        <f>+C35+C26</f>
        <v>52957</v>
      </c>
      <c r="D37" s="670"/>
      <c r="E37" s="821">
        <f>+E35+E26</f>
        <v>34558</v>
      </c>
    </row>
    <row r="38" spans="1:8" ht="14.1" customHeight="1" thickTop="1" x14ac:dyDescent="0.2">
      <c r="C38" s="44"/>
      <c r="D38" s="44"/>
      <c r="E38" s="639"/>
      <c r="G38" s="230"/>
    </row>
    <row r="39" spans="1:8" ht="14.1" customHeight="1" x14ac:dyDescent="0.3">
      <c r="B39" s="940" t="s">
        <v>1230</v>
      </c>
      <c r="C39" s="941"/>
      <c r="D39" s="941"/>
      <c r="E39" s="941"/>
      <c r="G39" s="230"/>
    </row>
    <row r="40" spans="1:8" ht="14.1" customHeight="1" x14ac:dyDescent="0.2">
      <c r="B40" s="220"/>
      <c r="C40" s="258"/>
      <c r="D40" s="62"/>
      <c r="E40" s="620"/>
      <c r="G40" s="230"/>
    </row>
    <row r="41" spans="1:8" s="470" customFormat="1" ht="14.1" customHeight="1" x14ac:dyDescent="0.2">
      <c r="A41" s="467"/>
      <c r="B41" s="897" t="s">
        <v>1026</v>
      </c>
      <c r="C41" s="468"/>
      <c r="D41" s="468"/>
      <c r="E41" s="620"/>
    </row>
    <row r="42" spans="1:8" s="470" customFormat="1" ht="14.1" customHeight="1" x14ac:dyDescent="0.2">
      <c r="A42" s="467"/>
      <c r="C42" s="468"/>
      <c r="D42" s="468"/>
      <c r="E42" s="620"/>
    </row>
    <row r="43" spans="1:8" ht="38.4" customHeight="1" x14ac:dyDescent="0.2">
      <c r="B43" s="929" t="s">
        <v>1213</v>
      </c>
      <c r="C43" s="929"/>
      <c r="D43" s="929"/>
      <c r="E43" s="929"/>
      <c r="G43" s="309"/>
      <c r="H43" s="309"/>
    </row>
  </sheetData>
  <customSheetViews>
    <customSheetView guid="{EDC1BD6E-863A-4FC6-A3A9-F32079F4F0C1}">
      <selection activeCell="L23" sqref="L23"/>
      <pageMargins left="0.7" right="0.7" top="0.75" bottom="0.75" header="0.3" footer="0.3"/>
      <pageSetup paperSize="9" orientation="portrait" verticalDpi="0" r:id="rId1"/>
    </customSheetView>
  </customSheetViews>
  <mergeCells count="3">
    <mergeCell ref="B43:E43"/>
    <mergeCell ref="B10:E10"/>
    <mergeCell ref="B39:E39"/>
  </mergeCells>
  <pageMargins left="0.70866141732283472" right="0.70866141732283472" top="0.74803149606299213" bottom="0.74803149606299213" header="0.31496062992125984" footer="0.31496062992125984"/>
  <pageSetup paperSize="9" orientation="portrait" r:id="rId2"/>
  <headerFooter>
    <oddHeader>&amp;C&amp;10Hull University Teaching Hospitals NHS Trust - Annual Accounts 2018/19</oddHeader>
    <oddFooter>&amp;C&amp;10Page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R50"/>
  <sheetViews>
    <sheetView zoomScaleNormal="100" workbookViewId="0">
      <selection activeCell="E13" sqref="E13"/>
    </sheetView>
  </sheetViews>
  <sheetFormatPr defaultColWidth="9.109375" defaultRowHeight="14.1" customHeight="1" x14ac:dyDescent="0.2"/>
  <cols>
    <col min="1" max="1" width="1.33203125" style="52" customWidth="1"/>
    <col min="2" max="2" width="46.88671875" style="25" customWidth="1"/>
    <col min="3" max="3" width="10.109375" style="298" customWidth="1"/>
    <col min="4" max="4" width="2.6640625" style="298" customWidth="1"/>
    <col min="5" max="5" width="10.33203125" style="25" customWidth="1"/>
    <col min="6" max="6" width="0.6640625" style="25" customWidth="1"/>
    <col min="7" max="7" width="9.6640625" style="25" customWidth="1"/>
    <col min="8" max="16384" width="9.109375" style="25"/>
  </cols>
  <sheetData>
    <row r="1" spans="1:14" ht="14.1" customHeight="1" x14ac:dyDescent="0.25">
      <c r="A1" s="52">
        <f>'Invent &amp; Receivables'!A13+0.1</f>
        <v>20.200000000000003</v>
      </c>
      <c r="B1" s="123" t="str">
        <f>"Note "&amp;A1&amp; " Allowances for credit losses - "&amp;CurrentFY</f>
        <v>Note 20.2 Allowances for credit losses - 2018/19</v>
      </c>
    </row>
    <row r="2" spans="1:14" ht="62.4" customHeight="1" x14ac:dyDescent="0.25">
      <c r="B2" s="20"/>
      <c r="C2" s="136" t="s">
        <v>901</v>
      </c>
      <c r="D2" s="136"/>
      <c r="E2" s="136" t="s">
        <v>902</v>
      </c>
      <c r="F2" s="136"/>
      <c r="G2" s="498" t="s">
        <v>1170</v>
      </c>
    </row>
    <row r="3" spans="1:14" ht="14.1" customHeight="1" x14ac:dyDescent="0.25">
      <c r="C3" s="304" t="s">
        <v>283</v>
      </c>
      <c r="D3" s="136"/>
      <c r="E3" s="304" t="s">
        <v>283</v>
      </c>
      <c r="F3" s="136"/>
      <c r="G3" s="851" t="s">
        <v>283</v>
      </c>
    </row>
    <row r="4" spans="1:14" ht="21" customHeight="1" x14ac:dyDescent="0.25">
      <c r="B4" s="301" t="str">
        <f>"Allowances as at "&amp;TEXT(CurrentYearStart,"d mmm yyyy")&amp;" - brought forward"</f>
        <v>Allowances as at 1 Apr 2018 - brought forward</v>
      </c>
      <c r="C4" s="246">
        <v>264</v>
      </c>
      <c r="D4" s="246"/>
      <c r="E4" s="246">
        <v>1393</v>
      </c>
      <c r="F4" s="111"/>
      <c r="G4" s="838">
        <f>SUM(C4:E4)</f>
        <v>1657</v>
      </c>
    </row>
    <row r="5" spans="1:14" ht="14.1" customHeight="1" x14ac:dyDescent="0.2">
      <c r="B5" s="302" t="s">
        <v>903</v>
      </c>
      <c r="C5" s="258">
        <v>-39</v>
      </c>
      <c r="D5" s="258"/>
      <c r="E5" s="258">
        <v>0</v>
      </c>
      <c r="F5" s="112"/>
      <c r="G5" s="838">
        <f t="shared" ref="G5:G11" si="0">SUM(C5:E5)</f>
        <v>-39</v>
      </c>
    </row>
    <row r="6" spans="1:14" ht="14.1" hidden="1" customHeight="1" x14ac:dyDescent="0.25">
      <c r="B6" s="301"/>
      <c r="C6" s="246">
        <v>0</v>
      </c>
      <c r="D6" s="246"/>
      <c r="E6" s="246">
        <v>0</v>
      </c>
      <c r="F6" s="110"/>
      <c r="G6" s="838">
        <f t="shared" si="0"/>
        <v>0</v>
      </c>
    </row>
    <row r="7" spans="1:14" ht="13.2" hidden="1" customHeight="1" x14ac:dyDescent="0.25">
      <c r="B7" s="302"/>
      <c r="C7" s="258">
        <v>0</v>
      </c>
      <c r="D7" s="258"/>
      <c r="E7" s="258">
        <v>0</v>
      </c>
      <c r="F7" s="111"/>
      <c r="G7" s="838">
        <f t="shared" si="0"/>
        <v>0</v>
      </c>
      <c r="H7" s="131"/>
    </row>
    <row r="8" spans="1:14" ht="14.1" customHeight="1" x14ac:dyDescent="0.2">
      <c r="B8" s="302" t="s">
        <v>904</v>
      </c>
      <c r="C8" s="258">
        <v>302</v>
      </c>
      <c r="D8" s="258"/>
      <c r="E8" s="258">
        <v>641</v>
      </c>
      <c r="F8" s="112"/>
      <c r="G8" s="838">
        <f t="shared" si="0"/>
        <v>943</v>
      </c>
      <c r="H8" s="267"/>
    </row>
    <row r="9" spans="1:14" ht="14.1" customHeight="1" x14ac:dyDescent="0.2">
      <c r="B9" s="302" t="s">
        <v>1233</v>
      </c>
      <c r="C9" s="258">
        <v>0</v>
      </c>
      <c r="D9" s="258"/>
      <c r="E9" s="258">
        <v>-354</v>
      </c>
      <c r="F9" s="112"/>
      <c r="G9" s="838">
        <f t="shared" si="0"/>
        <v>-354</v>
      </c>
      <c r="H9" s="267"/>
    </row>
    <row r="10" spans="1:14" ht="14.1" customHeight="1" x14ac:dyDescent="0.2">
      <c r="B10" s="302" t="s">
        <v>905</v>
      </c>
      <c r="C10" s="258">
        <v>-213</v>
      </c>
      <c r="D10" s="258"/>
      <c r="E10" s="258">
        <v>-183</v>
      </c>
      <c r="F10" s="112"/>
      <c r="G10" s="838">
        <f t="shared" si="0"/>
        <v>-396</v>
      </c>
      <c r="H10" s="267"/>
    </row>
    <row r="11" spans="1:14" s="183" customFormat="1" ht="14.1" customHeight="1" x14ac:dyDescent="0.2">
      <c r="A11" s="52"/>
      <c r="B11" s="302" t="s">
        <v>1169</v>
      </c>
      <c r="C11" s="258">
        <v>0</v>
      </c>
      <c r="D11" s="258"/>
      <c r="E11" s="258">
        <v>-58</v>
      </c>
      <c r="F11" s="112"/>
      <c r="G11" s="838">
        <f t="shared" si="0"/>
        <v>-58</v>
      </c>
      <c r="H11" s="131"/>
    </row>
    <row r="12" spans="1:14" ht="6" customHeight="1" x14ac:dyDescent="0.25">
      <c r="B12" s="302"/>
      <c r="C12" s="258"/>
      <c r="D12" s="258"/>
      <c r="E12" s="258"/>
      <c r="F12" s="109"/>
      <c r="G12" s="838"/>
      <c r="H12" s="267"/>
    </row>
    <row r="13" spans="1:14" s="298" customFormat="1" ht="3" customHeight="1" x14ac:dyDescent="0.25">
      <c r="A13" s="257"/>
      <c r="B13" s="221"/>
      <c r="C13" s="258"/>
      <c r="D13" s="258"/>
      <c r="E13" s="258"/>
      <c r="F13" s="109"/>
      <c r="G13" s="838"/>
      <c r="H13" s="300"/>
    </row>
    <row r="14" spans="1:14" s="298" customFormat="1" ht="14.1" customHeight="1" thickBot="1" x14ac:dyDescent="0.3">
      <c r="A14" s="257"/>
      <c r="B14" s="301" t="str">
        <f>"Allowances as at "&amp;TEXT(CurrentYearEnd,"d mmm yyyy")</f>
        <v>Allowances as at 31 Mar 2019</v>
      </c>
      <c r="C14" s="245">
        <f>SUM(C4:C13)</f>
        <v>314</v>
      </c>
      <c r="D14" s="109"/>
      <c r="E14" s="245">
        <f>SUM(E4:E13)</f>
        <v>1439</v>
      </c>
      <c r="F14" s="109"/>
      <c r="G14" s="658">
        <f>SUM(G4:G13)</f>
        <v>1753</v>
      </c>
      <c r="H14" s="942"/>
      <c r="I14" s="942"/>
      <c r="J14" s="942"/>
      <c r="K14" s="942"/>
      <c r="L14" s="942"/>
      <c r="M14" s="942"/>
      <c r="N14" s="942"/>
    </row>
    <row r="15" spans="1:14" s="298" customFormat="1" ht="26.4" customHeight="1" thickTop="1" x14ac:dyDescent="0.25">
      <c r="A15" s="257"/>
      <c r="B15" s="303"/>
      <c r="C15" s="109"/>
      <c r="D15" s="109"/>
      <c r="E15" s="109"/>
      <c r="F15" s="109"/>
      <c r="H15" s="300"/>
    </row>
    <row r="16" spans="1:14" ht="35.4" customHeight="1" x14ac:dyDescent="0.3">
      <c r="B16" s="910" t="s">
        <v>1027</v>
      </c>
      <c r="C16" s="910"/>
      <c r="D16" s="910"/>
      <c r="E16" s="910"/>
      <c r="F16" s="923"/>
      <c r="G16" s="923"/>
      <c r="H16" s="942"/>
      <c r="I16" s="942"/>
      <c r="J16" s="942"/>
      <c r="K16" s="942"/>
      <c r="L16" s="942"/>
      <c r="M16" s="942"/>
      <c r="N16" s="942"/>
    </row>
    <row r="17" spans="1:18" ht="14.1" customHeight="1" x14ac:dyDescent="0.2">
      <c r="B17" s="171"/>
    </row>
    <row r="19" spans="1:18" ht="13.95" customHeight="1" x14ac:dyDescent="0.25">
      <c r="A19" s="52">
        <f>A1+0.1</f>
        <v>20.300000000000004</v>
      </c>
      <c r="B19" s="303" t="str">
        <f>"Note "&amp;A19&amp; " Allowances for credit losses - "&amp;ComparativeFY</f>
        <v>Note 20.3 Allowances for credit losses - 2017/18</v>
      </c>
    </row>
    <row r="20" spans="1:18" s="315" customFormat="1" ht="37.200000000000003" customHeight="1" x14ac:dyDescent="0.2">
      <c r="A20" s="257"/>
      <c r="B20" s="943" t="s">
        <v>921</v>
      </c>
      <c r="C20" s="943"/>
      <c r="D20" s="943"/>
      <c r="E20" s="943"/>
      <c r="F20" s="944"/>
      <c r="G20" s="944"/>
    </row>
    <row r="21" spans="1:18" s="729" customFormat="1" ht="18.600000000000001" customHeight="1" x14ac:dyDescent="0.2">
      <c r="A21" s="722"/>
      <c r="B21" s="734"/>
      <c r="C21" s="734"/>
      <c r="D21" s="734"/>
      <c r="E21" s="734"/>
    </row>
    <row r="22" spans="1:18" ht="24" x14ac:dyDescent="0.25">
      <c r="B22" s="119"/>
      <c r="C22" s="117" t="s">
        <v>906</v>
      </c>
      <c r="D22" s="304"/>
      <c r="F22" s="117"/>
    </row>
    <row r="23" spans="1:18" ht="14.1" customHeight="1" x14ac:dyDescent="0.25">
      <c r="B23" s="119"/>
      <c r="C23" s="117" t="s">
        <v>283</v>
      </c>
      <c r="D23" s="304"/>
      <c r="F23" s="117"/>
    </row>
    <row r="24" spans="1:18" ht="14.1" hidden="1" customHeight="1" thickBot="1" x14ac:dyDescent="0.3">
      <c r="B24" s="301" t="str">
        <f>"Allowances as at "&amp;TEXT(ComparativeYearStart,"d mmm yyyy")&amp;" - as previously stated"</f>
        <v>Allowances as at 1 Apr 2017 - as previously stated</v>
      </c>
      <c r="C24" s="246"/>
      <c r="D24" s="258"/>
      <c r="F24" s="62"/>
      <c r="H24" s="342" t="s">
        <v>907</v>
      </c>
      <c r="I24" s="340"/>
      <c r="J24" s="340"/>
      <c r="K24" s="340"/>
      <c r="L24" s="340"/>
      <c r="M24" s="340"/>
      <c r="N24" s="340"/>
      <c r="O24" s="340"/>
      <c r="P24" s="340"/>
      <c r="Q24" s="340"/>
      <c r="R24" s="341"/>
    </row>
    <row r="25" spans="1:18" ht="14.1" hidden="1" customHeight="1" x14ac:dyDescent="0.2">
      <c r="B25" s="302" t="s">
        <v>370</v>
      </c>
      <c r="C25" s="258"/>
      <c r="D25" s="258"/>
      <c r="F25" s="62"/>
    </row>
    <row r="26" spans="1:18" s="298" customFormat="1" ht="14.1" customHeight="1" x14ac:dyDescent="0.25">
      <c r="A26" s="257"/>
      <c r="B26" s="301" t="s">
        <v>1168</v>
      </c>
      <c r="C26" s="761">
        <v>1990</v>
      </c>
      <c r="D26" s="258"/>
      <c r="F26" s="258"/>
    </row>
    <row r="27" spans="1:18" s="298" customFormat="1" ht="14.1" hidden="1" customHeight="1" x14ac:dyDescent="0.25">
      <c r="A27" s="257"/>
      <c r="B27" s="301" t="s">
        <v>284</v>
      </c>
      <c r="C27" s="258"/>
      <c r="D27" s="258"/>
      <c r="F27" s="258"/>
    </row>
    <row r="28" spans="1:18" s="298" customFormat="1" ht="10.95" customHeight="1" x14ac:dyDescent="0.2">
      <c r="A28" s="257"/>
      <c r="B28" s="302"/>
      <c r="C28" s="258"/>
      <c r="D28" s="258"/>
      <c r="F28" s="258"/>
    </row>
    <row r="29" spans="1:18" s="298" customFormat="1" ht="14.1" customHeight="1" x14ac:dyDescent="0.2">
      <c r="A29" s="257"/>
      <c r="B29" s="302" t="s">
        <v>387</v>
      </c>
      <c r="C29" s="258">
        <v>15</v>
      </c>
      <c r="D29" s="258"/>
      <c r="F29" s="258"/>
    </row>
    <row r="30" spans="1:18" s="298" customFormat="1" ht="14.1" customHeight="1" x14ac:dyDescent="0.2">
      <c r="A30" s="257"/>
      <c r="B30" s="302" t="s">
        <v>384</v>
      </c>
      <c r="C30" s="258">
        <v>-86</v>
      </c>
      <c r="D30" s="258"/>
      <c r="F30" s="258"/>
    </row>
    <row r="31" spans="1:18" ht="14.1" customHeight="1" x14ac:dyDescent="0.2">
      <c r="B31" s="302" t="s">
        <v>385</v>
      </c>
      <c r="C31" s="258">
        <v>-262</v>
      </c>
      <c r="D31" s="258"/>
      <c r="F31" s="62"/>
      <c r="H31" s="310"/>
    </row>
    <row r="32" spans="1:18" ht="10.199999999999999" customHeight="1" x14ac:dyDescent="0.2">
      <c r="B32" s="221"/>
      <c r="C32" s="258"/>
      <c r="D32" s="258"/>
      <c r="F32" s="62"/>
      <c r="H32" s="310"/>
    </row>
    <row r="33" spans="1:8" ht="14.1" customHeight="1" thickBot="1" x14ac:dyDescent="0.3">
      <c r="B33" s="301" t="str">
        <f>"Allowances as at "&amp;TEXT(ComparativeYearEnd,"d mmm yyyy")</f>
        <v>Allowances as at 31 Mar 2018</v>
      </c>
      <c r="C33" s="245">
        <f>SUM(C26:C32)</f>
        <v>1657</v>
      </c>
      <c r="D33" s="258"/>
      <c r="F33" s="235"/>
    </row>
    <row r="34" spans="1:8" ht="14.1" customHeight="1" thickTop="1" x14ac:dyDescent="0.25">
      <c r="B34" s="50"/>
      <c r="C34" s="34"/>
      <c r="D34" s="258"/>
      <c r="E34" s="34"/>
      <c r="F34" s="235"/>
    </row>
    <row r="36" spans="1:8" ht="14.1" customHeight="1" x14ac:dyDescent="0.25">
      <c r="A36" s="52">
        <f>A19+0.1</f>
        <v>20.400000000000006</v>
      </c>
      <c r="B36" s="634" t="str">
        <f>"Note "&amp;A36&amp; " Credit quality of financial assets"</f>
        <v>Note 20.4 Credit quality of financial assets</v>
      </c>
    </row>
    <row r="38" spans="1:8" ht="24" customHeight="1" x14ac:dyDescent="0.2">
      <c r="B38" s="930" t="s">
        <v>1065</v>
      </c>
      <c r="C38" s="930"/>
      <c r="D38" s="930"/>
      <c r="E38" s="930"/>
    </row>
    <row r="40" spans="1:8" ht="28.2" customHeight="1" x14ac:dyDescent="0.25">
      <c r="B40" s="650"/>
      <c r="C40" s="785" t="str">
        <f>TEXT(CurrentYearEnd, "d mmmm yyyy")</f>
        <v>31 March 2019</v>
      </c>
      <c r="D40" s="659"/>
      <c r="E40" s="664" t="str">
        <f>TEXT(ComparativeYearEnd, "d mmmm yyyy")</f>
        <v>31 March 2018</v>
      </c>
    </row>
    <row r="41" spans="1:8" ht="14.1" customHeight="1" x14ac:dyDescent="0.25">
      <c r="B41" s="651" t="s">
        <v>1066</v>
      </c>
      <c r="C41" s="659" t="s">
        <v>1067</v>
      </c>
      <c r="D41" s="659"/>
      <c r="E41" s="664" t="s">
        <v>1067</v>
      </c>
    </row>
    <row r="42" spans="1:8" ht="4.2" customHeight="1" x14ac:dyDescent="0.25">
      <c r="B42" s="650"/>
      <c r="C42" s="654"/>
      <c r="D42" s="657"/>
      <c r="E42" s="665"/>
    </row>
    <row r="43" spans="1:8" ht="5.4" customHeight="1" x14ac:dyDescent="0.3">
      <c r="B43" s="648"/>
      <c r="C43" s="656"/>
      <c r="D43" s="657"/>
      <c r="E43" s="666"/>
    </row>
    <row r="44" spans="1:8" ht="14.1" customHeight="1" x14ac:dyDescent="0.2">
      <c r="B44" s="649" t="s">
        <v>1068</v>
      </c>
      <c r="C44" s="657">
        <v>16938</v>
      </c>
      <c r="D44" s="657"/>
      <c r="E44" s="663">
        <v>15012</v>
      </c>
      <c r="H44" s="661"/>
    </row>
    <row r="45" spans="1:8" ht="14.1" customHeight="1" x14ac:dyDescent="0.2">
      <c r="B45" s="649" t="s">
        <v>1069</v>
      </c>
      <c r="C45" s="657">
        <v>9800</v>
      </c>
      <c r="D45" s="657"/>
      <c r="E45" s="663">
        <v>3735</v>
      </c>
    </row>
    <row r="46" spans="1:8" ht="14.1" customHeight="1" x14ac:dyDescent="0.2">
      <c r="B46" s="649" t="s">
        <v>1070</v>
      </c>
      <c r="C46" s="657">
        <v>670</v>
      </c>
      <c r="D46" s="657"/>
      <c r="E46" s="663">
        <v>2756</v>
      </c>
    </row>
    <row r="47" spans="1:8" ht="14.1" customHeight="1" x14ac:dyDescent="0.2">
      <c r="B47" s="649" t="s">
        <v>1071</v>
      </c>
      <c r="C47" s="657">
        <v>2895</v>
      </c>
      <c r="D47" s="657"/>
      <c r="E47" s="663">
        <v>2355</v>
      </c>
    </row>
    <row r="48" spans="1:8" ht="14.1" customHeight="1" x14ac:dyDescent="0.2">
      <c r="B48" s="649" t="s">
        <v>1072</v>
      </c>
      <c r="C48" s="657">
        <v>11007</v>
      </c>
      <c r="D48" s="657"/>
      <c r="E48" s="663">
        <v>8010</v>
      </c>
    </row>
    <row r="49" spans="2:5" ht="14.1" customHeight="1" thickBot="1" x14ac:dyDescent="0.3">
      <c r="B49" s="660" t="s">
        <v>360</v>
      </c>
      <c r="C49" s="658">
        <f>SUM(C44:C48)</f>
        <v>41310</v>
      </c>
      <c r="D49" s="657"/>
      <c r="E49" s="658">
        <f>SUM(E44:E48)</f>
        <v>31868</v>
      </c>
    </row>
    <row r="50" spans="2:5" ht="14.1" customHeight="1" thickTop="1" x14ac:dyDescent="0.3">
      <c r="B50" s="650"/>
      <c r="C50" s="648"/>
      <c r="D50" s="657"/>
      <c r="E50" s="648"/>
    </row>
  </sheetData>
  <customSheetViews>
    <customSheetView guid="{EDC1BD6E-863A-4FC6-A3A9-F32079F4F0C1}">
      <selection activeCell="N51" sqref="N51"/>
      <pageMargins left="0.7" right="0.7" top="0.75" bottom="0.75" header="0.3" footer="0.3"/>
      <pageSetup paperSize="9" orientation="portrait" verticalDpi="0" r:id="rId1"/>
    </customSheetView>
  </customSheetViews>
  <mergeCells count="5">
    <mergeCell ref="H16:N16"/>
    <mergeCell ref="H14:N14"/>
    <mergeCell ref="B38:E38"/>
    <mergeCell ref="B16:G16"/>
    <mergeCell ref="B20:G20"/>
  </mergeCells>
  <pageMargins left="0.70866141732283472" right="0.70866141732283472" top="0.74803149606299213" bottom="0.74803149606299213" header="0.31496062992125984" footer="0.31496062992125984"/>
  <pageSetup paperSize="9" orientation="portrait" r:id="rId2"/>
  <headerFooter>
    <oddHeader>&amp;C&amp;10Hull University Teaching Hospitals NHS Trust - Annual Accounts 2018/19</oddHeader>
    <oddFooter>&amp;C&amp;10Page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L70"/>
  <sheetViews>
    <sheetView zoomScaleNormal="100" workbookViewId="0">
      <selection activeCell="B30" sqref="B30:F32"/>
    </sheetView>
  </sheetViews>
  <sheetFormatPr defaultColWidth="9.109375" defaultRowHeight="14.1" customHeight="1" x14ac:dyDescent="0.2"/>
  <cols>
    <col min="1" max="1" width="1.6640625" style="52" customWidth="1"/>
    <col min="2" max="2" width="59.88671875" style="25" customWidth="1"/>
    <col min="3" max="3" width="1.88671875" style="25" customWidth="1"/>
    <col min="4" max="4" width="8.6640625" style="25" customWidth="1"/>
    <col min="5" max="5" width="2.6640625" style="25" customWidth="1"/>
    <col min="6" max="6" width="8.6640625" style="25" customWidth="1"/>
    <col min="7" max="16384" width="9.109375" style="25"/>
  </cols>
  <sheetData>
    <row r="1" spans="1:8" ht="6.6" customHeight="1" x14ac:dyDescent="0.25">
      <c r="A1" s="680">
        <f>'Receivables 2'!A36</f>
        <v>20.400000000000006</v>
      </c>
      <c r="B1" s="119"/>
      <c r="C1" s="119"/>
      <c r="D1" s="119"/>
      <c r="E1" s="119"/>
      <c r="F1" s="119"/>
    </row>
    <row r="2" spans="1:8" ht="14.1" customHeight="1" x14ac:dyDescent="0.25">
      <c r="A2" s="52">
        <f>ROUNDDOWN(A1,0)+1</f>
        <v>21</v>
      </c>
      <c r="B2" s="119" t="str">
        <f>"Note "&amp; A2&amp; " Cash and cash equivalents movements"</f>
        <v>Note 21 Cash and cash equivalents movements</v>
      </c>
    </row>
    <row r="3" spans="1:8" ht="12.6" customHeight="1" x14ac:dyDescent="0.2">
      <c r="B3" s="22"/>
    </row>
    <row r="4" spans="1:8" ht="25.5" customHeight="1" x14ac:dyDescent="0.2">
      <c r="B4" s="913" t="s">
        <v>477</v>
      </c>
      <c r="C4" s="913"/>
      <c r="D4" s="913"/>
      <c r="E4" s="913"/>
      <c r="F4" s="913"/>
    </row>
    <row r="5" spans="1:8" ht="14.1" customHeight="1" x14ac:dyDescent="0.25">
      <c r="B5" s="119"/>
      <c r="C5" s="119"/>
      <c r="D5" s="946"/>
      <c r="E5" s="946"/>
      <c r="F5" s="946"/>
    </row>
    <row r="6" spans="1:8" ht="14.1" customHeight="1" x14ac:dyDescent="0.25">
      <c r="B6" s="119"/>
      <c r="C6" s="117"/>
      <c r="D6" s="117" t="str">
        <f>CurrentFY</f>
        <v>2018/19</v>
      </c>
      <c r="E6" s="117"/>
      <c r="F6" s="624" t="str">
        <f>ComparativeFY</f>
        <v>2017/18</v>
      </c>
    </row>
    <row r="7" spans="1:8" ht="14.1" customHeight="1" x14ac:dyDescent="0.25">
      <c r="B7" s="119"/>
      <c r="C7" s="136"/>
      <c r="D7" s="117" t="s">
        <v>283</v>
      </c>
      <c r="E7" s="117"/>
      <c r="F7" s="624" t="s">
        <v>283</v>
      </c>
    </row>
    <row r="8" spans="1:8" s="767" customFormat="1" ht="14.1" customHeight="1" x14ac:dyDescent="0.25">
      <c r="A8" s="722"/>
      <c r="B8" s="777"/>
      <c r="C8" s="136"/>
      <c r="D8" s="778"/>
      <c r="E8" s="778"/>
      <c r="F8" s="664"/>
    </row>
    <row r="9" spans="1:8" ht="14.1" customHeight="1" x14ac:dyDescent="0.25">
      <c r="B9" s="119" t="s">
        <v>389</v>
      </c>
      <c r="C9" s="111"/>
      <c r="D9" s="138">
        <f>F16</f>
        <v>1699</v>
      </c>
      <c r="E9" s="138"/>
      <c r="F9" s="572">
        <v>2971</v>
      </c>
    </row>
    <row r="10" spans="1:8" ht="14.1" hidden="1" customHeight="1" x14ac:dyDescent="0.2">
      <c r="B10" s="137" t="s">
        <v>370</v>
      </c>
      <c r="C10" s="112"/>
      <c r="D10" s="62">
        <v>0</v>
      </c>
      <c r="E10" s="62"/>
      <c r="F10" s="620">
        <v>0</v>
      </c>
    </row>
    <row r="11" spans="1:8" ht="14.1" hidden="1" customHeight="1" x14ac:dyDescent="0.25">
      <c r="B11" s="119" t="s">
        <v>390</v>
      </c>
      <c r="C11" s="110"/>
      <c r="D11" s="64">
        <f>SUM(D9:D10)</f>
        <v>1699</v>
      </c>
      <c r="E11" s="62"/>
      <c r="F11" s="621">
        <f>SUM(F9:F10)</f>
        <v>2971</v>
      </c>
    </row>
    <row r="12" spans="1:8" ht="14.1" hidden="1" customHeight="1" x14ac:dyDescent="0.25">
      <c r="B12" s="119" t="s">
        <v>374</v>
      </c>
      <c r="C12" s="111"/>
      <c r="D12" s="138">
        <v>0</v>
      </c>
      <c r="E12" s="62"/>
      <c r="F12" s="572">
        <v>0</v>
      </c>
      <c r="G12" s="346"/>
      <c r="H12" s="131"/>
    </row>
    <row r="13" spans="1:8" ht="14.1" hidden="1" customHeight="1" x14ac:dyDescent="0.2">
      <c r="B13" s="137" t="s">
        <v>371</v>
      </c>
      <c r="C13" s="112"/>
      <c r="D13" s="62">
        <v>0</v>
      </c>
      <c r="E13" s="62"/>
      <c r="F13" s="620">
        <v>0</v>
      </c>
      <c r="G13" s="346"/>
      <c r="H13" s="267"/>
    </row>
    <row r="14" spans="1:8" ht="14.1" customHeight="1" x14ac:dyDescent="0.2">
      <c r="B14" s="137" t="s">
        <v>391</v>
      </c>
      <c r="C14" s="112"/>
      <c r="D14" s="62">
        <v>3912</v>
      </c>
      <c r="E14" s="62"/>
      <c r="F14" s="620">
        <v>-1272</v>
      </c>
      <c r="G14" s="346"/>
      <c r="H14" s="267"/>
    </row>
    <row r="15" spans="1:8" s="183" customFormat="1" ht="14.1" hidden="1" customHeight="1" x14ac:dyDescent="0.2">
      <c r="A15" s="52"/>
      <c r="B15" s="221" t="s">
        <v>604</v>
      </c>
      <c r="C15" s="112"/>
      <c r="D15" s="62">
        <v>0</v>
      </c>
      <c r="E15" s="62"/>
      <c r="F15" s="620">
        <v>0</v>
      </c>
      <c r="G15" s="346"/>
      <c r="H15" s="131"/>
    </row>
    <row r="16" spans="1:8" ht="14.1" customHeight="1" thickBot="1" x14ac:dyDescent="0.3">
      <c r="B16" s="123" t="s">
        <v>386</v>
      </c>
      <c r="C16" s="109"/>
      <c r="D16" s="139">
        <f>SUM(D11:D15)</f>
        <v>5611</v>
      </c>
      <c r="E16" s="62"/>
      <c r="F16" s="622">
        <f>SUM(F11:F15)</f>
        <v>1699</v>
      </c>
      <c r="H16" s="267"/>
    </row>
    <row r="17" spans="1:12" ht="14.1" customHeight="1" thickTop="1" x14ac:dyDescent="0.25">
      <c r="B17" s="119" t="s">
        <v>399</v>
      </c>
      <c r="C17" s="112"/>
      <c r="D17" s="62"/>
      <c r="E17" s="62"/>
      <c r="F17" s="620"/>
    </row>
    <row r="18" spans="1:12" ht="14.1" customHeight="1" x14ac:dyDescent="0.2">
      <c r="B18" s="137" t="s">
        <v>392</v>
      </c>
      <c r="C18" s="112"/>
      <c r="D18" s="62">
        <v>14</v>
      </c>
      <c r="E18" s="62"/>
      <c r="F18" s="620">
        <v>11</v>
      </c>
    </row>
    <row r="19" spans="1:12" ht="14.1" customHeight="1" x14ac:dyDescent="0.2">
      <c r="B19" s="137" t="s">
        <v>393</v>
      </c>
      <c r="C19" s="112"/>
      <c r="D19" s="62">
        <v>5597</v>
      </c>
      <c r="E19" s="62"/>
      <c r="F19" s="620">
        <v>1688</v>
      </c>
    </row>
    <row r="20" spans="1:12" ht="14.1" hidden="1" customHeight="1" x14ac:dyDescent="0.2">
      <c r="B20" s="137" t="s">
        <v>394</v>
      </c>
      <c r="C20" s="112"/>
      <c r="D20" s="62">
        <v>0</v>
      </c>
      <c r="E20" s="62"/>
      <c r="F20" s="620">
        <v>0</v>
      </c>
    </row>
    <row r="21" spans="1:12" ht="14.1" hidden="1" customHeight="1" x14ac:dyDescent="0.2">
      <c r="B21" s="137" t="s">
        <v>395</v>
      </c>
      <c r="C21" s="112"/>
      <c r="D21" s="62">
        <v>0</v>
      </c>
      <c r="E21" s="62"/>
      <c r="F21" s="620">
        <v>0</v>
      </c>
    </row>
    <row r="22" spans="1:12" ht="14.1" customHeight="1" x14ac:dyDescent="0.25">
      <c r="B22" s="119" t="s">
        <v>396</v>
      </c>
      <c r="C22" s="110"/>
      <c r="D22" s="64">
        <f>SUM(D18:D21)</f>
        <v>5611</v>
      </c>
      <c r="E22" s="62"/>
      <c r="F22" s="621">
        <f>SUM(F18:F21)</f>
        <v>1699</v>
      </c>
      <c r="G22" s="20"/>
    </row>
    <row r="23" spans="1:12" ht="14.1" hidden="1" customHeight="1" x14ac:dyDescent="0.2">
      <c r="B23" s="137" t="s">
        <v>400</v>
      </c>
      <c r="C23" s="112"/>
      <c r="D23" s="62">
        <v>0</v>
      </c>
      <c r="E23" s="62"/>
      <c r="F23" s="620">
        <v>0</v>
      </c>
    </row>
    <row r="24" spans="1:12" ht="14.1" hidden="1" customHeight="1" x14ac:dyDescent="0.2">
      <c r="B24" s="137" t="s">
        <v>397</v>
      </c>
      <c r="C24" s="112"/>
      <c r="D24" s="62">
        <v>0</v>
      </c>
      <c r="E24" s="62"/>
      <c r="F24" s="620">
        <v>0</v>
      </c>
    </row>
    <row r="25" spans="1:12" ht="14.1" hidden="1" customHeight="1" thickBot="1" x14ac:dyDescent="0.3">
      <c r="B25" s="123" t="s">
        <v>398</v>
      </c>
      <c r="C25" s="109"/>
      <c r="D25" s="139">
        <f>SUM(D22:D24)</f>
        <v>5611</v>
      </c>
      <c r="E25" s="62"/>
      <c r="F25" s="622">
        <f>SUM(F22:F24)</f>
        <v>1699</v>
      </c>
      <c r="G25" s="20"/>
    </row>
    <row r="26" spans="1:12" ht="14.1" customHeight="1" x14ac:dyDescent="0.2">
      <c r="C26" s="44"/>
      <c r="E26" s="62"/>
    </row>
    <row r="27" spans="1:12" ht="14.1" customHeight="1" x14ac:dyDescent="0.2">
      <c r="E27" s="62"/>
    </row>
    <row r="28" spans="1:12" ht="14.1" customHeight="1" x14ac:dyDescent="0.25">
      <c r="A28" s="52">
        <f>A2+0.1</f>
        <v>21.1</v>
      </c>
      <c r="B28" s="123" t="str">
        <f>"Note "&amp;A28&amp; " Third party assets held by the trust"</f>
        <v>Note 21.1 Third party assets held by the trust</v>
      </c>
    </row>
    <row r="29" spans="1:12" s="729" customFormat="1" ht="14.1" customHeight="1" x14ac:dyDescent="0.25">
      <c r="A29" s="722"/>
      <c r="B29" s="740"/>
    </row>
    <row r="30" spans="1:12" ht="4.2" customHeight="1" x14ac:dyDescent="0.2">
      <c r="B30" s="945" t="s">
        <v>1137</v>
      </c>
      <c r="C30" s="945"/>
      <c r="D30" s="945"/>
      <c r="E30" s="945"/>
      <c r="F30" s="945"/>
    </row>
    <row r="31" spans="1:12" ht="7.2" customHeight="1" x14ac:dyDescent="0.2">
      <c r="B31" s="945"/>
      <c r="C31" s="945"/>
      <c r="D31" s="945"/>
      <c r="E31" s="945"/>
      <c r="F31" s="945"/>
    </row>
    <row r="32" spans="1:12" ht="15.6" customHeight="1" x14ac:dyDescent="0.2">
      <c r="B32" s="945"/>
      <c r="C32" s="945"/>
      <c r="D32" s="945"/>
      <c r="E32" s="945"/>
      <c r="F32" s="945"/>
      <c r="I32" s="947"/>
      <c r="J32" s="947"/>
      <c r="K32" s="947"/>
      <c r="L32" s="947"/>
    </row>
    <row r="33" spans="1:12" s="729" customFormat="1" ht="15.6" customHeight="1" x14ac:dyDescent="0.2">
      <c r="A33" s="722"/>
      <c r="I33" s="731"/>
      <c r="J33" s="731"/>
      <c r="K33" s="731"/>
      <c r="L33" s="731"/>
    </row>
    <row r="35" spans="1:12" ht="14.1" customHeight="1" x14ac:dyDescent="0.25">
      <c r="A35" s="52">
        <f>A2+1</f>
        <v>22</v>
      </c>
      <c r="B35" s="735" t="str">
        <f>"Note "&amp;A35&amp; " Trade and other payables"</f>
        <v>Note 22 Trade and other payables</v>
      </c>
    </row>
    <row r="36" spans="1:12" ht="25.95" customHeight="1" x14ac:dyDescent="0.25">
      <c r="D36" s="738" t="str">
        <f>TEXT(CurrentYearEnd, "d mmmm yyyy")</f>
        <v>31 March 2019</v>
      </c>
      <c r="E36" s="670"/>
      <c r="F36" s="664" t="str">
        <f>TEXT(ComparativeYearEnd, "d mmmm yyyy")</f>
        <v>31 March 2018</v>
      </c>
    </row>
    <row r="37" spans="1:12" ht="14.1" customHeight="1" x14ac:dyDescent="0.25">
      <c r="D37" s="738" t="s">
        <v>283</v>
      </c>
      <c r="E37" s="670"/>
      <c r="F37" s="664" t="s">
        <v>283</v>
      </c>
    </row>
    <row r="38" spans="1:12" ht="14.1" customHeight="1" x14ac:dyDescent="0.25">
      <c r="B38" s="735" t="s">
        <v>401</v>
      </c>
      <c r="D38" s="485"/>
      <c r="E38" s="670"/>
      <c r="F38" s="600"/>
    </row>
    <row r="39" spans="1:12" ht="14.1" customHeight="1" x14ac:dyDescent="0.2">
      <c r="B39" s="739" t="s">
        <v>605</v>
      </c>
      <c r="D39" s="670">
        <v>5670</v>
      </c>
      <c r="E39" s="670"/>
      <c r="F39" s="671">
        <v>7302</v>
      </c>
    </row>
    <row r="40" spans="1:12" ht="14.1" customHeight="1" x14ac:dyDescent="0.2">
      <c r="B40" s="739" t="s">
        <v>667</v>
      </c>
      <c r="D40" s="670">
        <v>4879</v>
      </c>
      <c r="E40" s="670"/>
      <c r="F40" s="671">
        <v>2731</v>
      </c>
    </row>
    <row r="41" spans="1:12" ht="14.1" customHeight="1" x14ac:dyDescent="0.2">
      <c r="B41" s="739" t="s">
        <v>668</v>
      </c>
      <c r="D41" s="670">
        <v>33039</v>
      </c>
      <c r="E41" s="670"/>
      <c r="F41" s="671">
        <v>30891</v>
      </c>
    </row>
    <row r="42" spans="1:12" ht="14.1" hidden="1" customHeight="1" x14ac:dyDescent="0.2">
      <c r="B42" s="615"/>
      <c r="D42" s="670"/>
      <c r="E42" s="670"/>
      <c r="F42" s="671">
        <v>0</v>
      </c>
    </row>
    <row r="43" spans="1:12" ht="14.1" customHeight="1" x14ac:dyDescent="0.2">
      <c r="B43" s="739" t="s">
        <v>407</v>
      </c>
      <c r="D43" s="670">
        <v>4104</v>
      </c>
      <c r="E43" s="670"/>
      <c r="F43" s="671">
        <v>3963</v>
      </c>
    </row>
    <row r="44" spans="1:12" ht="14.1" hidden="1" customHeight="1" x14ac:dyDescent="0.2">
      <c r="B44" s="739"/>
      <c r="D44" s="670"/>
      <c r="E44" s="670"/>
      <c r="F44" s="671"/>
    </row>
    <row r="45" spans="1:12" ht="14.1" customHeight="1" x14ac:dyDescent="0.2">
      <c r="B45" s="739" t="s">
        <v>608</v>
      </c>
      <c r="D45" s="670">
        <v>479</v>
      </c>
      <c r="E45" s="670"/>
      <c r="F45" s="671">
        <v>600</v>
      </c>
    </row>
    <row r="46" spans="1:12" ht="14.1" hidden="1" customHeight="1" x14ac:dyDescent="0.2">
      <c r="B46" s="739" t="s">
        <v>403</v>
      </c>
      <c r="D46" s="670"/>
      <c r="E46" s="670"/>
      <c r="F46" s="671">
        <v>0</v>
      </c>
    </row>
    <row r="47" spans="1:12" ht="14.1" customHeight="1" x14ac:dyDescent="0.2">
      <c r="B47" s="739" t="s">
        <v>1194</v>
      </c>
      <c r="D47" s="670" t="s">
        <v>1135</v>
      </c>
      <c r="E47" s="670"/>
      <c r="F47" s="671">
        <v>108</v>
      </c>
    </row>
    <row r="48" spans="1:12" ht="14.1" customHeight="1" x14ac:dyDescent="0.2">
      <c r="B48" s="739" t="s">
        <v>402</v>
      </c>
      <c r="D48" s="670">
        <v>4518</v>
      </c>
      <c r="E48" s="670"/>
      <c r="F48" s="671">
        <v>4397</v>
      </c>
    </row>
    <row r="49" spans="1:6" s="784" customFormat="1" ht="14.1" customHeight="1" x14ac:dyDescent="0.2">
      <c r="A49" s="722"/>
      <c r="B49" s="787"/>
      <c r="D49" s="670"/>
      <c r="E49" s="670"/>
      <c r="F49" s="671"/>
    </row>
    <row r="50" spans="1:6" ht="14.1" customHeight="1" thickBot="1" x14ac:dyDescent="0.3">
      <c r="B50" s="740" t="s">
        <v>406</v>
      </c>
      <c r="D50" s="658">
        <f>SUM(D39:D49)</f>
        <v>52689</v>
      </c>
      <c r="E50" s="670"/>
      <c r="F50" s="622">
        <f>SUM(F38:F48)</f>
        <v>49992</v>
      </c>
    </row>
    <row r="51" spans="1:6" ht="14.1" customHeight="1" thickTop="1" x14ac:dyDescent="0.25">
      <c r="B51" s="735"/>
      <c r="D51" s="551"/>
      <c r="E51" s="670"/>
      <c r="F51" s="550"/>
    </row>
    <row r="52" spans="1:6" ht="14.1" hidden="1" customHeight="1" x14ac:dyDescent="0.25">
      <c r="B52" s="735" t="s">
        <v>383</v>
      </c>
      <c r="D52" s="485"/>
      <c r="E52" s="670"/>
      <c r="F52" s="600"/>
    </row>
    <row r="53" spans="1:6" ht="14.1" hidden="1" customHeight="1" x14ac:dyDescent="0.2">
      <c r="B53" s="739" t="s">
        <v>605</v>
      </c>
      <c r="D53" s="670">
        <v>0</v>
      </c>
      <c r="E53" s="670"/>
      <c r="F53" s="671">
        <v>0</v>
      </c>
    </row>
    <row r="54" spans="1:6" ht="14.1" hidden="1" customHeight="1" x14ac:dyDescent="0.2">
      <c r="B54" s="739" t="s">
        <v>667</v>
      </c>
      <c r="D54" s="670">
        <v>0</v>
      </c>
      <c r="E54" s="670"/>
      <c r="F54" s="671">
        <v>0</v>
      </c>
    </row>
    <row r="55" spans="1:6" ht="14.1" hidden="1" customHeight="1" x14ac:dyDescent="0.2">
      <c r="B55" s="739" t="s">
        <v>668</v>
      </c>
      <c r="D55" s="670">
        <v>0</v>
      </c>
      <c r="E55" s="670"/>
      <c r="F55" s="671">
        <v>0</v>
      </c>
    </row>
    <row r="56" spans="1:6" ht="14.1" hidden="1" customHeight="1" x14ac:dyDescent="0.2">
      <c r="B56" s="615" t="s">
        <v>606</v>
      </c>
      <c r="D56" s="670">
        <v>0</v>
      </c>
      <c r="E56" s="670"/>
      <c r="F56" s="671">
        <v>0</v>
      </c>
    </row>
    <row r="57" spans="1:6" ht="14.1" hidden="1" customHeight="1" x14ac:dyDescent="0.2">
      <c r="B57" s="739" t="s">
        <v>607</v>
      </c>
      <c r="D57" s="670">
        <v>0</v>
      </c>
      <c r="E57" s="670"/>
      <c r="F57" s="671">
        <v>0</v>
      </c>
    </row>
    <row r="58" spans="1:6" ht="14.1" hidden="1" customHeight="1" x14ac:dyDescent="0.2">
      <c r="B58" s="739" t="s">
        <v>608</v>
      </c>
      <c r="D58" s="670">
        <v>0</v>
      </c>
      <c r="E58" s="670"/>
      <c r="F58" s="671">
        <v>0</v>
      </c>
    </row>
    <row r="59" spans="1:6" ht="14.1" hidden="1" customHeight="1" x14ac:dyDescent="0.2">
      <c r="B59" s="739" t="s">
        <v>402</v>
      </c>
      <c r="D59" s="670">
        <v>0</v>
      </c>
      <c r="E59" s="670"/>
      <c r="F59" s="671">
        <v>0</v>
      </c>
    </row>
    <row r="60" spans="1:6" ht="14.1" hidden="1" customHeight="1" thickBot="1" x14ac:dyDescent="0.3">
      <c r="B60" s="740" t="s">
        <v>405</v>
      </c>
      <c r="D60" s="658">
        <f>SUM(D53:D59)</f>
        <v>0</v>
      </c>
      <c r="E60" s="670"/>
      <c r="F60" s="622">
        <f>SUM(F53:F59)</f>
        <v>0</v>
      </c>
    </row>
    <row r="61" spans="1:6" ht="13.95" customHeight="1" x14ac:dyDescent="0.25">
      <c r="B61" s="735"/>
      <c r="D61" s="729"/>
      <c r="E61" s="729"/>
      <c r="F61" s="602"/>
    </row>
    <row r="62" spans="1:6" ht="14.1" customHeight="1" x14ac:dyDescent="0.25">
      <c r="B62" s="618" t="s">
        <v>1109</v>
      </c>
      <c r="D62" s="670">
        <v>5898</v>
      </c>
      <c r="E62" s="670"/>
      <c r="F62" s="671">
        <v>7009</v>
      </c>
    </row>
    <row r="63" spans="1:6" ht="27" customHeight="1" x14ac:dyDescent="0.2">
      <c r="B63" s="38" t="s">
        <v>1171</v>
      </c>
    </row>
    <row r="64" spans="1:6" ht="40.200000000000003" customHeight="1" x14ac:dyDescent="0.2">
      <c r="B64" s="930" t="s">
        <v>1113</v>
      </c>
      <c r="C64" s="930"/>
      <c r="D64" s="930"/>
      <c r="E64" s="930"/>
      <c r="F64" s="930"/>
    </row>
    <row r="66" spans="1:9" ht="22.95" customHeight="1" x14ac:dyDescent="0.2">
      <c r="B66" s="930" t="s">
        <v>1138</v>
      </c>
      <c r="C66" s="930"/>
      <c r="D66" s="930"/>
      <c r="E66" s="930"/>
      <c r="F66" s="930"/>
    </row>
    <row r="69" spans="1:9" ht="14.1" customHeight="1" x14ac:dyDescent="0.25">
      <c r="A69" s="52">
        <f>A35+1</f>
        <v>23</v>
      </c>
      <c r="B69" s="735"/>
    </row>
    <row r="70" spans="1:9" ht="14.1" customHeight="1" x14ac:dyDescent="0.2">
      <c r="B70" s="942"/>
      <c r="C70" s="942"/>
      <c r="D70" s="942"/>
      <c r="E70" s="942"/>
      <c r="F70" s="942"/>
      <c r="G70" s="721"/>
      <c r="H70" s="721"/>
      <c r="I70" s="721"/>
    </row>
  </sheetData>
  <customSheetViews>
    <customSheetView guid="{EDC1BD6E-863A-4FC6-A3A9-F32079F4F0C1}" topLeftCell="A16">
      <selection activeCell="O48" sqref="O48"/>
      <pageMargins left="0.7" right="0.7" top="0.75" bottom="0.75" header="0.3" footer="0.3"/>
      <pageSetup paperSize="9" orientation="portrait" verticalDpi="0" r:id="rId1"/>
    </customSheetView>
  </customSheetViews>
  <mergeCells count="7">
    <mergeCell ref="B70:F70"/>
    <mergeCell ref="B30:F32"/>
    <mergeCell ref="B4:F4"/>
    <mergeCell ref="D5:F5"/>
    <mergeCell ref="I32:L32"/>
    <mergeCell ref="B64:F64"/>
    <mergeCell ref="B66:F66"/>
  </mergeCells>
  <pageMargins left="0.70866141732283472" right="0.70866141732283472" top="0.74803149606299213" bottom="0.74803149606299213" header="0.31496062992125984" footer="0.31496062992125984"/>
  <pageSetup paperSize="9" orientation="portrait" r:id="rId2"/>
  <headerFooter>
    <oddHeader>&amp;C&amp;10Hull University Teaching Hospitals NHS Trust - Annual Accounts 2018/19</oddHeader>
    <oddFooter>&amp;C&amp;10Page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M55"/>
  <sheetViews>
    <sheetView topLeftCell="A34" zoomScaleNormal="100" workbookViewId="0">
      <selection activeCell="B30" sqref="B30:F32"/>
    </sheetView>
  </sheetViews>
  <sheetFormatPr defaultColWidth="9.109375" defaultRowHeight="14.1" customHeight="1" x14ac:dyDescent="0.2"/>
  <cols>
    <col min="1" max="1" width="1.109375" style="52" customWidth="1"/>
    <col min="2" max="2" width="42.33203125" style="25" customWidth="1"/>
    <col min="3" max="3" width="8.6640625" style="767" customWidth="1"/>
    <col min="4" max="4" width="2.6640625" style="767" customWidth="1"/>
    <col min="5" max="5" width="8.6640625" style="25" customWidth="1"/>
    <col min="6" max="6" width="2.6640625" style="25" customWidth="1"/>
    <col min="7" max="7" width="8.6640625" style="25" customWidth="1"/>
    <col min="8" max="8" width="2.6640625" style="25" customWidth="1"/>
    <col min="9" max="9" width="8.6640625" style="25" customWidth="1"/>
    <col min="10" max="16384" width="9.109375" style="25"/>
  </cols>
  <sheetData>
    <row r="1" spans="1:13" s="767" customFormat="1" ht="14.1" customHeight="1" x14ac:dyDescent="0.25">
      <c r="A1" s="722">
        <f>'CCE &amp; Payables'!A35+1</f>
        <v>23</v>
      </c>
      <c r="B1" s="777" t="str">
        <f>"Note "&amp; A1&amp; " Other financial liabilities"</f>
        <v>Note 23 Other financial liabilities</v>
      </c>
      <c r="C1" s="777"/>
      <c r="D1" s="777"/>
    </row>
    <row r="2" spans="1:13" s="767" customFormat="1" ht="5.4" customHeight="1" x14ac:dyDescent="0.2">
      <c r="A2" s="722"/>
    </row>
    <row r="3" spans="1:13" s="767" customFormat="1" ht="14.1" customHeight="1" x14ac:dyDescent="0.2">
      <c r="A3" s="722"/>
      <c r="B3" s="910" t="s">
        <v>1139</v>
      </c>
      <c r="C3" s="910"/>
      <c r="D3" s="910"/>
      <c r="E3" s="910"/>
      <c r="F3" s="910"/>
      <c r="G3" s="910"/>
      <c r="H3" s="910"/>
    </row>
    <row r="4" spans="1:13" s="767" customFormat="1" ht="3" customHeight="1" x14ac:dyDescent="0.2">
      <c r="A4" s="722"/>
    </row>
    <row r="5" spans="1:13" ht="3.6" customHeight="1" x14ac:dyDescent="0.25">
      <c r="A5" s="52" t="e">
        <f>ROUNDDOWN(#REF!,0)</f>
        <v>#REF!</v>
      </c>
      <c r="B5" s="119"/>
      <c r="C5" s="777"/>
      <c r="D5" s="777"/>
      <c r="E5" s="119"/>
      <c r="F5" s="119"/>
      <c r="G5" s="119"/>
    </row>
    <row r="6" spans="1:13" ht="14.1" customHeight="1" x14ac:dyDescent="0.25">
      <c r="A6" s="52">
        <f>A1+1</f>
        <v>24</v>
      </c>
      <c r="B6" s="119" t="str">
        <f>"Note "&amp; A6&amp; " Borrowings"</f>
        <v>Note 24 Borrowings</v>
      </c>
      <c r="C6" s="777"/>
      <c r="D6" s="777"/>
    </row>
    <row r="7" spans="1:13" ht="28.2" customHeight="1" x14ac:dyDescent="0.25">
      <c r="B7" s="119"/>
      <c r="C7" s="777"/>
      <c r="D7" s="777"/>
      <c r="E7" s="777"/>
      <c r="F7" s="777"/>
      <c r="G7" s="488" t="str">
        <f>TEXT(CurrentYearEnd, "d mmmm yyyy")</f>
        <v>31 March 2019</v>
      </c>
      <c r="H7" s="488"/>
      <c r="I7" s="624" t="str">
        <f>TEXT(ComparativeYearEnd, "d mmmm yyyy")</f>
        <v>31 March 2018</v>
      </c>
      <c r="J7" s="484"/>
      <c r="K7" s="484"/>
      <c r="L7" s="483"/>
      <c r="M7" s="483"/>
    </row>
    <row r="8" spans="1:13" ht="14.1" customHeight="1" x14ac:dyDescent="0.25">
      <c r="B8" s="119"/>
      <c r="C8" s="777"/>
      <c r="D8" s="777"/>
      <c r="E8" s="777"/>
      <c r="F8" s="777"/>
      <c r="G8" s="488" t="s">
        <v>283</v>
      </c>
      <c r="H8" s="488"/>
      <c r="I8" s="624" t="s">
        <v>283</v>
      </c>
      <c r="J8" s="484"/>
      <c r="K8" s="484"/>
      <c r="L8" s="483"/>
      <c r="M8" s="483"/>
    </row>
    <row r="9" spans="1:13" ht="14.1" customHeight="1" x14ac:dyDescent="0.25">
      <c r="B9" s="119" t="s">
        <v>401</v>
      </c>
      <c r="C9" s="777"/>
      <c r="D9" s="777"/>
      <c r="E9" s="777"/>
      <c r="F9" s="777"/>
      <c r="G9" s="485"/>
      <c r="H9" s="485"/>
      <c r="I9" s="600"/>
      <c r="J9" s="486"/>
      <c r="K9" s="484"/>
      <c r="L9" s="483"/>
      <c r="M9" s="483"/>
    </row>
    <row r="10" spans="1:13" ht="14.1" hidden="1" customHeight="1" x14ac:dyDescent="0.2">
      <c r="B10" s="137" t="s">
        <v>468</v>
      </c>
      <c r="C10" s="780"/>
      <c r="D10" s="780"/>
      <c r="E10" s="780"/>
      <c r="F10" s="780"/>
      <c r="G10" s="487">
        <v>0</v>
      </c>
      <c r="H10" s="487"/>
      <c r="I10" s="620">
        <v>0</v>
      </c>
      <c r="J10" s="487"/>
      <c r="K10" s="484"/>
      <c r="L10" s="483"/>
      <c r="M10" s="483"/>
    </row>
    <row r="11" spans="1:13" ht="14.1" hidden="1" customHeight="1" x14ac:dyDescent="0.2">
      <c r="B11" s="137" t="s">
        <v>397</v>
      </c>
      <c r="C11" s="780"/>
      <c r="D11" s="780"/>
      <c r="E11" s="780"/>
      <c r="F11" s="780"/>
      <c r="G11" s="487">
        <v>0</v>
      </c>
      <c r="H11" s="487"/>
      <c r="I11" s="620">
        <v>0</v>
      </c>
      <c r="J11" s="487"/>
      <c r="K11" s="484"/>
      <c r="L11" s="483"/>
      <c r="M11" s="483"/>
    </row>
    <row r="12" spans="1:13" ht="14.1" customHeight="1" x14ac:dyDescent="0.2">
      <c r="B12" s="137" t="s">
        <v>856</v>
      </c>
      <c r="C12" s="780"/>
      <c r="D12" s="780"/>
      <c r="E12" s="780"/>
      <c r="F12" s="780"/>
      <c r="G12" s="487">
        <v>21137</v>
      </c>
      <c r="H12" s="487"/>
      <c r="I12" s="620">
        <v>15449</v>
      </c>
      <c r="J12" s="487"/>
      <c r="K12" s="484"/>
      <c r="L12" s="483"/>
      <c r="M12" s="483"/>
    </row>
    <row r="13" spans="1:13" ht="14.1" hidden="1" customHeight="1" x14ac:dyDescent="0.2">
      <c r="B13" s="137" t="s">
        <v>414</v>
      </c>
      <c r="C13" s="780"/>
      <c r="D13" s="780"/>
      <c r="E13" s="780"/>
      <c r="F13" s="780"/>
      <c r="G13" s="487">
        <v>0</v>
      </c>
      <c r="H13" s="487"/>
      <c r="I13" s="620">
        <v>0</v>
      </c>
      <c r="J13" s="487"/>
      <c r="K13" s="484"/>
      <c r="L13" s="483"/>
      <c r="M13" s="483"/>
    </row>
    <row r="14" spans="1:13" ht="14.1" customHeight="1" x14ac:dyDescent="0.2">
      <c r="B14" s="137" t="s">
        <v>408</v>
      </c>
      <c r="C14" s="780"/>
      <c r="D14" s="780"/>
      <c r="E14" s="780"/>
      <c r="F14" s="780"/>
      <c r="G14" s="487">
        <v>56</v>
      </c>
      <c r="H14" s="487"/>
      <c r="I14" s="620">
        <v>55</v>
      </c>
      <c r="J14" s="487"/>
      <c r="K14" s="484"/>
      <c r="L14" s="483"/>
      <c r="M14" s="483"/>
    </row>
    <row r="15" spans="1:13" ht="14.1" hidden="1" customHeight="1" x14ac:dyDescent="0.2">
      <c r="B15" s="137" t="s">
        <v>409</v>
      </c>
      <c r="C15" s="780"/>
      <c r="D15" s="780"/>
      <c r="E15" s="780"/>
      <c r="F15" s="780"/>
      <c r="G15" s="487">
        <v>0</v>
      </c>
      <c r="H15" s="487"/>
      <c r="I15" s="620">
        <v>0</v>
      </c>
      <c r="J15" s="487"/>
      <c r="K15" s="484"/>
      <c r="L15" s="483"/>
      <c r="M15" s="483"/>
    </row>
    <row r="16" spans="1:13" ht="13.95" customHeight="1" x14ac:dyDescent="0.2">
      <c r="A16" s="722"/>
      <c r="B16" s="615" t="s">
        <v>410</v>
      </c>
      <c r="C16" s="615"/>
      <c r="D16" s="615"/>
      <c r="E16" s="615"/>
      <c r="F16" s="615"/>
      <c r="G16" s="670">
        <v>1894</v>
      </c>
      <c r="H16" s="670"/>
      <c r="I16" s="671">
        <v>1778</v>
      </c>
      <c r="J16" s="670"/>
      <c r="K16" s="676"/>
      <c r="L16" s="729"/>
      <c r="M16" s="729"/>
    </row>
    <row r="17" spans="1:11" ht="14.1" customHeight="1" thickBot="1" x14ac:dyDescent="0.3">
      <c r="B17" s="123" t="s">
        <v>413</v>
      </c>
      <c r="C17" s="781"/>
      <c r="D17" s="781"/>
      <c r="E17" s="781"/>
      <c r="F17" s="781"/>
      <c r="G17" s="63">
        <f>SUM(G10:G16)</f>
        <v>23087</v>
      </c>
      <c r="H17" s="62"/>
      <c r="I17" s="622">
        <f>SUM(I10:I16)</f>
        <v>17282</v>
      </c>
      <c r="J17" s="69"/>
      <c r="K17" s="478"/>
    </row>
    <row r="18" spans="1:11" ht="14.1" customHeight="1" thickTop="1" x14ac:dyDescent="0.2">
      <c r="E18" s="767"/>
      <c r="F18" s="767"/>
      <c r="G18" s="30"/>
      <c r="H18" s="62"/>
      <c r="I18" s="600"/>
      <c r="J18" s="46"/>
      <c r="K18" s="26"/>
    </row>
    <row r="19" spans="1:11" ht="14.1" customHeight="1" x14ac:dyDescent="0.25">
      <c r="B19" s="119" t="s">
        <v>383</v>
      </c>
      <c r="C19" s="777"/>
      <c r="D19" s="777"/>
      <c r="E19" s="777"/>
      <c r="F19" s="777"/>
      <c r="G19" s="31"/>
      <c r="H19" s="62"/>
      <c r="I19" s="600"/>
      <c r="J19" s="76"/>
      <c r="K19" s="26"/>
    </row>
    <row r="20" spans="1:11" ht="14.1" customHeight="1" x14ac:dyDescent="0.2">
      <c r="B20" s="137" t="s">
        <v>856</v>
      </c>
      <c r="C20" s="780"/>
      <c r="D20" s="780"/>
      <c r="E20" s="780"/>
      <c r="F20" s="780"/>
      <c r="G20" s="62">
        <v>33190</v>
      </c>
      <c r="H20" s="62"/>
      <c r="I20" s="620">
        <v>39831</v>
      </c>
      <c r="J20" s="46"/>
      <c r="K20" s="26"/>
    </row>
    <row r="21" spans="1:11" ht="14.1" hidden="1" customHeight="1" x14ac:dyDescent="0.2">
      <c r="B21" s="137" t="s">
        <v>414</v>
      </c>
      <c r="C21" s="780"/>
      <c r="D21" s="780"/>
      <c r="E21" s="780"/>
      <c r="F21" s="780"/>
      <c r="G21" s="62">
        <v>0</v>
      </c>
      <c r="H21" s="62"/>
      <c r="I21" s="620">
        <v>0</v>
      </c>
      <c r="J21" s="46"/>
      <c r="K21" s="26"/>
    </row>
    <row r="22" spans="1:11" ht="14.1" customHeight="1" x14ac:dyDescent="0.2">
      <c r="B22" s="137" t="s">
        <v>408</v>
      </c>
      <c r="C22" s="780"/>
      <c r="D22" s="780"/>
      <c r="E22" s="780"/>
      <c r="F22" s="780"/>
      <c r="G22" s="62">
        <v>1966</v>
      </c>
      <c r="H22" s="62"/>
      <c r="I22" s="620">
        <v>2023</v>
      </c>
      <c r="J22" s="46"/>
      <c r="K22" s="26"/>
    </row>
    <row r="23" spans="1:11" s="275" customFormat="1" ht="14.1" hidden="1" customHeight="1" x14ac:dyDescent="0.2">
      <c r="A23" s="257"/>
      <c r="B23" s="276" t="s">
        <v>409</v>
      </c>
      <c r="C23" s="780"/>
      <c r="D23" s="780"/>
      <c r="E23" s="780"/>
      <c r="F23" s="780"/>
      <c r="G23" s="258">
        <v>0</v>
      </c>
      <c r="H23" s="258"/>
      <c r="I23" s="620">
        <v>0</v>
      </c>
      <c r="J23" s="46"/>
      <c r="K23" s="274"/>
    </row>
    <row r="24" spans="1:11" ht="26.4" customHeight="1" x14ac:dyDescent="0.2">
      <c r="B24" s="137" t="s">
        <v>411</v>
      </c>
      <c r="C24" s="780"/>
      <c r="D24" s="780"/>
      <c r="E24" s="780"/>
      <c r="F24" s="780"/>
      <c r="G24" s="258">
        <v>46580</v>
      </c>
      <c r="H24" s="258"/>
      <c r="I24" s="620">
        <v>48473</v>
      </c>
      <c r="J24" s="46"/>
      <c r="K24" s="26"/>
    </row>
    <row r="25" spans="1:11" ht="14.1" customHeight="1" x14ac:dyDescent="0.25">
      <c r="B25" s="123" t="s">
        <v>412</v>
      </c>
      <c r="C25" s="781"/>
      <c r="D25" s="781"/>
      <c r="E25" s="781"/>
      <c r="F25" s="781"/>
      <c r="G25" s="231">
        <f>SUM(G20:G24)</f>
        <v>81736</v>
      </c>
      <c r="H25" s="62"/>
      <c r="I25" s="638">
        <f>SUM(I20:I24)</f>
        <v>90327</v>
      </c>
      <c r="J25" s="69"/>
      <c r="K25" s="26"/>
    </row>
    <row r="26" spans="1:11" ht="14.1" customHeight="1" x14ac:dyDescent="0.25">
      <c r="B26" s="119"/>
      <c r="C26" s="777"/>
      <c r="D26" s="777"/>
      <c r="E26" s="777"/>
      <c r="F26" s="777"/>
      <c r="H26" s="62"/>
      <c r="I26" s="602"/>
      <c r="J26" s="26"/>
      <c r="K26" s="26"/>
    </row>
    <row r="27" spans="1:11" ht="14.1" customHeight="1" thickBot="1" x14ac:dyDescent="0.3">
      <c r="B27" s="119" t="s">
        <v>1028</v>
      </c>
      <c r="C27" s="777"/>
      <c r="D27" s="777"/>
      <c r="E27" s="777"/>
      <c r="F27" s="777"/>
      <c r="G27" s="479">
        <f>G17+G25</f>
        <v>104823</v>
      </c>
      <c r="I27" s="640">
        <f>I17+I25</f>
        <v>107609</v>
      </c>
      <c r="J27" s="26"/>
      <c r="K27" s="26"/>
    </row>
    <row r="28" spans="1:11" ht="14.1" customHeight="1" thickTop="1" x14ac:dyDescent="0.2"/>
    <row r="30" spans="1:11" s="470" customFormat="1" ht="24" customHeight="1" x14ac:dyDescent="0.3">
      <c r="A30" s="467"/>
      <c r="B30" s="481" t="s">
        <v>1029</v>
      </c>
      <c r="C30" s="481"/>
      <c r="D30" s="481"/>
      <c r="E30" s="948" t="s">
        <v>1032</v>
      </c>
      <c r="F30" s="949"/>
      <c r="G30" s="949"/>
      <c r="H30" s="499"/>
      <c r="I30" s="518" t="s">
        <v>1030</v>
      </c>
      <c r="J30" s="521"/>
    </row>
    <row r="31" spans="1:11" s="470" customFormat="1" ht="14.1" customHeight="1" x14ac:dyDescent="0.3">
      <c r="A31" s="467"/>
      <c r="B31" s="482"/>
      <c r="C31" s="672"/>
      <c r="D31" s="672"/>
      <c r="E31" s="488" t="s">
        <v>283</v>
      </c>
      <c r="F31" s="488"/>
      <c r="G31" s="488" t="s">
        <v>283</v>
      </c>
      <c r="H31" s="488"/>
      <c r="I31" s="489" t="s">
        <v>283</v>
      </c>
      <c r="J31" s="482"/>
    </row>
    <row r="32" spans="1:11" s="470" customFormat="1" ht="14.1" customHeight="1" x14ac:dyDescent="0.3">
      <c r="A32" s="467"/>
      <c r="B32" s="482"/>
      <c r="C32" s="672"/>
      <c r="D32" s="672"/>
      <c r="E32" s="497" t="s">
        <v>1031</v>
      </c>
      <c r="F32" s="497"/>
      <c r="G32" s="498" t="s">
        <v>314</v>
      </c>
      <c r="H32" s="498"/>
      <c r="I32" s="496" t="s">
        <v>282</v>
      </c>
      <c r="J32" s="482"/>
    </row>
    <row r="33" spans="1:10" s="470" customFormat="1" ht="14.1" customHeight="1" x14ac:dyDescent="0.3">
      <c r="A33" s="467"/>
      <c r="B33" s="491"/>
      <c r="C33" s="491"/>
      <c r="D33" s="491"/>
      <c r="E33" s="492"/>
      <c r="F33" s="492"/>
      <c r="G33" s="483"/>
      <c r="H33" s="483"/>
      <c r="I33" s="492"/>
      <c r="J33" s="482"/>
    </row>
    <row r="34" spans="1:10" s="470" customFormat="1" ht="14.1" customHeight="1" x14ac:dyDescent="0.3">
      <c r="A34" s="467"/>
      <c r="B34" s="493" t="s">
        <v>1033</v>
      </c>
      <c r="C34" s="493"/>
      <c r="D34" s="493"/>
      <c r="E34" s="495">
        <v>21137</v>
      </c>
      <c r="F34" s="495"/>
      <c r="G34" s="805">
        <v>1950</v>
      </c>
      <c r="H34" s="490"/>
      <c r="I34" s="495">
        <v>17283</v>
      </c>
      <c r="J34" s="482"/>
    </row>
    <row r="35" spans="1:10" s="470" customFormat="1" ht="14.1" customHeight="1" x14ac:dyDescent="0.3">
      <c r="A35" s="467"/>
      <c r="B35" s="494" t="s">
        <v>1034</v>
      </c>
      <c r="C35" s="494"/>
      <c r="D35" s="494"/>
      <c r="E35" s="495">
        <v>12867.312400000001</v>
      </c>
      <c r="F35" s="495"/>
      <c r="G35" s="805">
        <v>1985</v>
      </c>
      <c r="H35" s="490"/>
      <c r="I35" s="495">
        <v>9119</v>
      </c>
      <c r="J35" s="482"/>
    </row>
    <row r="36" spans="1:10" s="470" customFormat="1" ht="14.1" customHeight="1" x14ac:dyDescent="0.3">
      <c r="A36" s="467"/>
      <c r="B36" s="494" t="s">
        <v>1035</v>
      </c>
      <c r="C36" s="494"/>
      <c r="D36" s="494"/>
      <c r="E36" s="495">
        <v>5904.9372000000003</v>
      </c>
      <c r="F36" s="495"/>
      <c r="G36" s="806">
        <v>5388</v>
      </c>
      <c r="H36" s="490"/>
      <c r="I36" s="495">
        <v>25732</v>
      </c>
      <c r="J36" s="482"/>
    </row>
    <row r="37" spans="1:10" s="470" customFormat="1" ht="14.1" customHeight="1" x14ac:dyDescent="0.3">
      <c r="A37" s="467"/>
      <c r="B37" s="494" t="s">
        <v>1036</v>
      </c>
      <c r="C37" s="494"/>
      <c r="D37" s="494"/>
      <c r="E37" s="495">
        <v>14417.813199999999</v>
      </c>
      <c r="F37" s="495"/>
      <c r="G37" s="805">
        <f>41174-1</f>
        <v>41173</v>
      </c>
      <c r="H37" s="490"/>
      <c r="I37" s="495">
        <v>55475</v>
      </c>
      <c r="J37" s="482"/>
    </row>
    <row r="38" spans="1:10" s="470" customFormat="1" ht="14.1" customHeight="1" x14ac:dyDescent="0.25">
      <c r="A38" s="467"/>
      <c r="B38" s="494"/>
      <c r="C38" s="494"/>
      <c r="D38" s="494"/>
      <c r="E38" s="495"/>
      <c r="F38" s="495"/>
      <c r="G38" s="490"/>
      <c r="H38" s="500"/>
      <c r="I38" s="495"/>
    </row>
    <row r="39" spans="1:10" s="470" customFormat="1" ht="14.1" customHeight="1" thickBot="1" x14ac:dyDescent="0.3">
      <c r="A39" s="467"/>
      <c r="B39" s="501" t="s">
        <v>282</v>
      </c>
      <c r="C39" s="501"/>
      <c r="D39" s="501"/>
      <c r="E39" s="902">
        <f>SUM(E34:E38)</f>
        <v>54327.0628</v>
      </c>
      <c r="F39" s="495"/>
      <c r="G39" s="902">
        <f>SUM(G34:G38)</f>
        <v>50496</v>
      </c>
      <c r="H39" s="495"/>
      <c r="I39" s="520">
        <f>SUM(I34:I38)</f>
        <v>107609</v>
      </c>
    </row>
    <row r="40" spans="1:10" s="767" customFormat="1" ht="14.1" customHeight="1" thickTop="1" x14ac:dyDescent="0.25">
      <c r="A40" s="722"/>
      <c r="B40" s="501"/>
      <c r="C40" s="501"/>
      <c r="D40" s="501"/>
      <c r="E40" s="580"/>
      <c r="F40" s="580"/>
      <c r="G40" s="580"/>
      <c r="H40" s="580"/>
      <c r="I40" s="580"/>
    </row>
    <row r="41" spans="1:10" s="767" customFormat="1" ht="14.1" customHeight="1" x14ac:dyDescent="0.25">
      <c r="A41" s="722"/>
      <c r="B41" s="501"/>
      <c r="C41" s="501"/>
      <c r="D41" s="501"/>
      <c r="E41" s="580"/>
      <c r="F41" s="580"/>
      <c r="G41" s="580"/>
      <c r="H41" s="580"/>
      <c r="I41" s="580"/>
    </row>
    <row r="42" spans="1:10" s="767" customFormat="1" ht="14.1" customHeight="1" x14ac:dyDescent="0.25">
      <c r="A42" s="722">
        <f>A6+0.1</f>
        <v>24.1</v>
      </c>
      <c r="B42" s="781" t="str">
        <f>"Note "&amp; A42&amp;" Reconciliation of liabilities arising from financing activities"</f>
        <v>Note 24.1 Reconciliation of liabilities arising from financing activities</v>
      </c>
      <c r="C42" s="781"/>
      <c r="D42" s="781"/>
      <c r="E42" s="580"/>
      <c r="F42" s="580"/>
      <c r="G42" s="580"/>
      <c r="H42" s="580"/>
      <c r="I42" s="580"/>
    </row>
    <row r="43" spans="1:10" s="767" customFormat="1" ht="14.1" customHeight="1" x14ac:dyDescent="0.25">
      <c r="A43" s="722"/>
      <c r="B43" s="501"/>
      <c r="C43" s="501"/>
      <c r="D43" s="501"/>
      <c r="E43" s="580"/>
      <c r="F43" s="580"/>
      <c r="G43" s="580"/>
      <c r="H43" s="580"/>
      <c r="I43" s="580"/>
    </row>
    <row r="44" spans="1:10" s="767" customFormat="1" ht="38.4" customHeight="1" x14ac:dyDescent="0.25">
      <c r="A44" s="722"/>
      <c r="B44" s="777"/>
      <c r="C44" s="778" t="s">
        <v>948</v>
      </c>
      <c r="D44" s="501"/>
      <c r="E44" s="778" t="s">
        <v>911</v>
      </c>
      <c r="F44" s="580"/>
      <c r="G44" s="778" t="s">
        <v>912</v>
      </c>
      <c r="H44" s="580"/>
      <c r="I44" s="778" t="s">
        <v>282</v>
      </c>
    </row>
    <row r="45" spans="1:10" s="767" customFormat="1" ht="14.1" customHeight="1" x14ac:dyDescent="0.25">
      <c r="A45" s="722"/>
      <c r="B45" s="777"/>
      <c r="C45" s="778" t="s">
        <v>283</v>
      </c>
      <c r="D45" s="501"/>
      <c r="E45" s="778" t="s">
        <v>283</v>
      </c>
      <c r="F45" s="580"/>
      <c r="G45" s="778" t="s">
        <v>283</v>
      </c>
      <c r="H45" s="580"/>
      <c r="I45" s="778" t="s">
        <v>283</v>
      </c>
    </row>
    <row r="46" spans="1:10" s="767" customFormat="1" ht="13.95" customHeight="1" x14ac:dyDescent="0.25">
      <c r="A46" s="722"/>
      <c r="B46" s="777" t="str">
        <f>"Carrying value at " &amp; TEXT(CurrentYearStart,"d mmmm yyyy")</f>
        <v>Carrying value at 1 April 2018</v>
      </c>
      <c r="C46" s="606">
        <v>55280</v>
      </c>
      <c r="D46" s="501"/>
      <c r="E46" s="606">
        <v>2078</v>
      </c>
      <c r="F46" s="580"/>
      <c r="G46" s="606">
        <v>50251</v>
      </c>
      <c r="H46" s="580"/>
      <c r="I46" s="606">
        <f>SUM(B46:G46)</f>
        <v>107609</v>
      </c>
    </row>
    <row r="47" spans="1:10" s="767" customFormat="1" ht="15" customHeight="1" x14ac:dyDescent="0.25">
      <c r="A47" s="722"/>
      <c r="B47" s="840" t="s">
        <v>1185</v>
      </c>
      <c r="C47" s="572">
        <v>108</v>
      </c>
      <c r="D47" s="841"/>
      <c r="E47" s="572">
        <v>0</v>
      </c>
      <c r="F47" s="580"/>
      <c r="G47" s="572">
        <v>0</v>
      </c>
      <c r="H47" s="580"/>
      <c r="I47" s="810">
        <f>SUM(C47:H47)</f>
        <v>108</v>
      </c>
    </row>
    <row r="48" spans="1:10" s="470" customFormat="1" ht="14.1" customHeight="1" x14ac:dyDescent="0.25">
      <c r="A48" s="467"/>
      <c r="B48" s="777" t="s">
        <v>913</v>
      </c>
      <c r="C48" s="670"/>
      <c r="D48" s="767"/>
      <c r="E48" s="670"/>
      <c r="G48" s="670"/>
      <c r="I48" s="606"/>
    </row>
    <row r="49" spans="1:9" s="470" customFormat="1" ht="25.95" customHeight="1" x14ac:dyDescent="0.25">
      <c r="A49" s="467" t="e">
        <f>A20.1</f>
        <v>#NAME?</v>
      </c>
      <c r="B49" s="780" t="s">
        <v>914</v>
      </c>
      <c r="C49" s="670">
        <v>-1049</v>
      </c>
      <c r="D49" s="767"/>
      <c r="E49" s="670">
        <v>-56</v>
      </c>
      <c r="G49" s="670">
        <v>-1778</v>
      </c>
      <c r="I49" s="606">
        <f t="shared" ref="I49:I53" si="0">SUM(B49:G49)</f>
        <v>-2883</v>
      </c>
    </row>
    <row r="50" spans="1:9" s="470" customFormat="1" ht="14.1" customHeight="1" x14ac:dyDescent="0.25">
      <c r="A50" s="467"/>
      <c r="B50" s="780" t="s">
        <v>915</v>
      </c>
      <c r="C50" s="670">
        <v>-1132</v>
      </c>
      <c r="D50" s="767"/>
      <c r="E50" s="670">
        <v>-4</v>
      </c>
      <c r="G50" s="670">
        <v>-3634</v>
      </c>
      <c r="I50" s="606">
        <f t="shared" si="0"/>
        <v>-4770</v>
      </c>
    </row>
    <row r="51" spans="1:9" ht="14.1" customHeight="1" x14ac:dyDescent="0.25">
      <c r="B51" s="777" t="s">
        <v>916</v>
      </c>
      <c r="C51" s="670"/>
      <c r="E51" s="670"/>
      <c r="G51" s="670"/>
      <c r="I51" s="606"/>
    </row>
    <row r="52" spans="1:9" ht="14.1" customHeight="1" x14ac:dyDescent="0.25">
      <c r="B52" s="615" t="s">
        <v>1184</v>
      </c>
      <c r="C52" s="670">
        <v>1120</v>
      </c>
      <c r="E52" s="670">
        <v>4</v>
      </c>
      <c r="G52" s="670">
        <v>3635</v>
      </c>
      <c r="I52" s="606">
        <f>SUM(B52:G52)</f>
        <v>4759</v>
      </c>
    </row>
    <row r="53" spans="1:9" ht="14.1" customHeight="1" x14ac:dyDescent="0.25">
      <c r="B53" s="780" t="s">
        <v>917</v>
      </c>
      <c r="C53" s="670"/>
      <c r="E53" s="670"/>
      <c r="G53" s="670"/>
      <c r="I53" s="606">
        <f t="shared" si="0"/>
        <v>0</v>
      </c>
    </row>
    <row r="54" spans="1:9" ht="20.399999999999999" customHeight="1" thickBot="1" x14ac:dyDescent="0.3">
      <c r="B54" s="777" t="str">
        <f>"Carrying value at " &amp; TEXT(CurrentYearEnd,"d mmmm yyyy")</f>
        <v>Carrying value at 31 March 2019</v>
      </c>
      <c r="C54" s="658">
        <f>SUM(C46:C53)</f>
        <v>54327</v>
      </c>
      <c r="E54" s="658">
        <f>SUM(E46:E53)</f>
        <v>2022</v>
      </c>
      <c r="G54" s="658">
        <f>SUM(G46:G53)</f>
        <v>48474</v>
      </c>
      <c r="I54" s="658">
        <f>SUM(I46:I53)</f>
        <v>104823</v>
      </c>
    </row>
    <row r="55" spans="1:9" ht="14.1" customHeight="1" thickTop="1" x14ac:dyDescent="0.2"/>
  </sheetData>
  <customSheetViews>
    <customSheetView guid="{EDC1BD6E-863A-4FC6-A3A9-F32079F4F0C1}" topLeftCell="A37">
      <selection activeCell="N66" sqref="N66"/>
      <pageMargins left="0.7" right="0.7" top="0.75" bottom="0.75" header="0.3" footer="0.3"/>
      <pageSetup paperSize="9" orientation="portrait" verticalDpi="0" r:id="rId1"/>
    </customSheetView>
  </customSheetViews>
  <mergeCells count="2">
    <mergeCell ref="E30:G30"/>
    <mergeCell ref="B3:H3"/>
  </mergeCells>
  <pageMargins left="0.70866141732283472" right="0.70866141732283472" top="0.74803149606299213" bottom="0.74803149606299213" header="0.31496062992125984" footer="0.31496062992125984"/>
  <pageSetup paperSize="9" orientation="portrait" r:id="rId2"/>
  <headerFooter>
    <oddHeader>&amp;C&amp;10Hull University Teaching Hospitals NHS Trust - Annual Accounts 2018/19</oddHeader>
    <oddFooter>&amp;C&amp;10Page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G29"/>
  <sheetViews>
    <sheetView zoomScaleNormal="100" workbookViewId="0">
      <selection activeCell="B30" sqref="B30:F32"/>
    </sheetView>
  </sheetViews>
  <sheetFormatPr defaultColWidth="9.109375" defaultRowHeight="14.1" customHeight="1" x14ac:dyDescent="0.2"/>
  <cols>
    <col min="1" max="1" width="1.33203125" style="52" customWidth="1"/>
    <col min="2" max="2" width="62" style="25" customWidth="1"/>
    <col min="3" max="3" width="8.6640625" style="25" customWidth="1"/>
    <col min="4" max="4" width="2.6640625" style="25" customWidth="1"/>
    <col min="5" max="5" width="8.6640625" style="25" customWidth="1"/>
    <col min="6" max="16384" width="9.109375" style="25"/>
  </cols>
  <sheetData>
    <row r="1" spans="1:6" ht="14.1" customHeight="1" x14ac:dyDescent="0.25">
      <c r="A1" s="52">
        <f>'OL &amp; Borrowings'!A6+1</f>
        <v>25</v>
      </c>
      <c r="B1" s="119" t="str">
        <f>"Note "&amp;A1&amp; " Finance leases"</f>
        <v>Note 25 Finance leases</v>
      </c>
    </row>
    <row r="3" spans="1:6" ht="14.1" customHeight="1" x14ac:dyDescent="0.25">
      <c r="B3" s="119" t="str">
        <f>" " &amp;SelectedFT&amp;" as a lessee"</f>
        <v xml:space="preserve"> Hull University Teaching Hospitals NHS Trust as a lessee</v>
      </c>
      <c r="C3" s="118"/>
      <c r="D3" s="119"/>
      <c r="E3" s="119"/>
    </row>
    <row r="4" spans="1:6" s="502" customFormat="1" ht="30.6" customHeight="1" x14ac:dyDescent="0.2">
      <c r="A4" s="505"/>
      <c r="B4" s="951" t="s">
        <v>1167</v>
      </c>
      <c r="C4" s="951"/>
      <c r="D4" s="951"/>
      <c r="E4" s="951"/>
    </row>
    <row r="5" spans="1:6" s="502" customFormat="1" ht="11.4" customHeight="1" x14ac:dyDescent="0.2">
      <c r="A5" s="505"/>
      <c r="B5" s="524"/>
      <c r="C5" s="524"/>
      <c r="D5" s="524"/>
      <c r="E5" s="524"/>
    </row>
    <row r="6" spans="1:6" s="502" customFormat="1" ht="51" customHeight="1" x14ac:dyDescent="0.2">
      <c r="A6" s="505"/>
      <c r="B6" s="939" t="s">
        <v>1037</v>
      </c>
      <c r="C6" s="939"/>
      <c r="D6" s="939"/>
      <c r="E6" s="939"/>
    </row>
    <row r="7" spans="1:6" s="729" customFormat="1" ht="37.200000000000003" customHeight="1" x14ac:dyDescent="0.2">
      <c r="A7" s="722"/>
      <c r="B7" s="734"/>
      <c r="C7" s="734"/>
      <c r="D7" s="734"/>
      <c r="E7" s="734"/>
    </row>
    <row r="8" spans="1:6" s="159" customFormat="1" ht="14.1" customHeight="1" x14ac:dyDescent="0.25">
      <c r="A8" s="52"/>
      <c r="B8" s="155"/>
      <c r="C8" s="160"/>
      <c r="D8" s="161"/>
      <c r="E8" s="161"/>
    </row>
    <row r="9" spans="1:6" ht="28.2" customHeight="1" x14ac:dyDescent="0.25">
      <c r="B9" s="119"/>
      <c r="C9" s="117" t="str">
        <f>TEXT(CurrentYearEnd, "d mmmm yyyy")</f>
        <v>31 March 2019</v>
      </c>
      <c r="D9" s="117"/>
      <c r="E9" s="518" t="str">
        <f>TEXT(ComparativeYearEnd, "d mmmm yyyy")</f>
        <v>31 March 2018</v>
      </c>
    </row>
    <row r="10" spans="1:6" ht="14.1" customHeight="1" x14ac:dyDescent="0.25">
      <c r="B10" s="119"/>
      <c r="C10" s="117" t="s">
        <v>283</v>
      </c>
      <c r="D10" s="117"/>
      <c r="E10" s="518" t="s">
        <v>283</v>
      </c>
    </row>
    <row r="11" spans="1:6" s="767" customFormat="1" ht="14.1" customHeight="1" x14ac:dyDescent="0.25">
      <c r="A11" s="722"/>
      <c r="B11" s="777"/>
      <c r="C11" s="778"/>
      <c r="D11" s="778"/>
      <c r="E11" s="664"/>
    </row>
    <row r="12" spans="1:6" ht="14.1" customHeight="1" x14ac:dyDescent="0.25">
      <c r="B12" s="119" t="s">
        <v>471</v>
      </c>
      <c r="C12" s="796">
        <f>SUM(C14:C16)</f>
        <v>2099</v>
      </c>
      <c r="D12" s="685"/>
      <c r="E12" s="797">
        <f>SUM(E14:E16)</f>
        <v>2159</v>
      </c>
      <c r="F12" s="20"/>
    </row>
    <row r="13" spans="1:6" ht="14.1" customHeight="1" x14ac:dyDescent="0.25">
      <c r="B13" s="157" t="s">
        <v>421</v>
      </c>
      <c r="C13" s="62"/>
      <c r="D13" s="62"/>
      <c r="E13" s="516"/>
      <c r="F13" s="20"/>
    </row>
    <row r="14" spans="1:6" ht="14.1" customHeight="1" x14ac:dyDescent="0.2">
      <c r="B14" s="137" t="s">
        <v>316</v>
      </c>
      <c r="C14" s="62">
        <v>60</v>
      </c>
      <c r="D14" s="62"/>
      <c r="E14" s="516">
        <v>60</v>
      </c>
    </row>
    <row r="15" spans="1:6" ht="14.1" customHeight="1" x14ac:dyDescent="0.2">
      <c r="B15" s="137" t="s">
        <v>317</v>
      </c>
      <c r="C15" s="258">
        <v>240</v>
      </c>
      <c r="D15" s="62"/>
      <c r="E15" s="516">
        <v>240</v>
      </c>
    </row>
    <row r="16" spans="1:6" ht="14.1" customHeight="1" x14ac:dyDescent="0.2">
      <c r="B16" s="137" t="s">
        <v>318</v>
      </c>
      <c r="C16" s="258">
        <v>1799</v>
      </c>
      <c r="D16" s="62"/>
      <c r="E16" s="516">
        <v>1859</v>
      </c>
    </row>
    <row r="17" spans="2:7" ht="14.1" customHeight="1" x14ac:dyDescent="0.25">
      <c r="B17" s="122" t="s">
        <v>422</v>
      </c>
      <c r="C17" s="258">
        <v>-77</v>
      </c>
      <c r="D17" s="62"/>
      <c r="E17" s="516">
        <v>-81</v>
      </c>
      <c r="F17" s="20"/>
      <c r="G17" s="20"/>
    </row>
    <row r="18" spans="2:7" ht="14.1" customHeight="1" thickBot="1" x14ac:dyDescent="0.3">
      <c r="B18" s="123" t="s">
        <v>472</v>
      </c>
      <c r="C18" s="63">
        <f>SUM(C14:C17)</f>
        <v>2022</v>
      </c>
      <c r="D18" s="62"/>
      <c r="E18" s="517">
        <f>SUM(E14:E17)</f>
        <v>2078</v>
      </c>
      <c r="F18" s="20"/>
      <c r="G18" s="20"/>
    </row>
    <row r="19" spans="2:7" ht="14.1" customHeight="1" thickTop="1" x14ac:dyDescent="0.25">
      <c r="B19" s="122" t="s">
        <v>481</v>
      </c>
      <c r="C19" s="34"/>
      <c r="D19" s="62"/>
      <c r="E19" s="519"/>
      <c r="F19" s="61"/>
      <c r="G19" s="61"/>
    </row>
    <row r="20" spans="2:7" ht="14.1" customHeight="1" x14ac:dyDescent="0.2">
      <c r="B20" s="137" t="s">
        <v>316</v>
      </c>
      <c r="C20" s="62">
        <v>56</v>
      </c>
      <c r="D20" s="62"/>
      <c r="E20" s="516">
        <v>55</v>
      </c>
    </row>
    <row r="21" spans="2:7" ht="14.1" customHeight="1" x14ac:dyDescent="0.2">
      <c r="B21" s="137" t="s">
        <v>317</v>
      </c>
      <c r="C21" s="258">
        <v>223</v>
      </c>
      <c r="D21" s="62"/>
      <c r="E21" s="516">
        <v>223</v>
      </c>
    </row>
    <row r="22" spans="2:7" ht="14.1" customHeight="1" x14ac:dyDescent="0.2">
      <c r="B22" s="137" t="s">
        <v>318</v>
      </c>
      <c r="C22" s="258">
        <v>1743</v>
      </c>
      <c r="D22" s="62"/>
      <c r="E22" s="516">
        <v>1800</v>
      </c>
    </row>
    <row r="23" spans="2:7" ht="13.95" customHeight="1" x14ac:dyDescent="0.25">
      <c r="B23" s="68"/>
      <c r="C23" s="67"/>
      <c r="D23" s="62"/>
      <c r="E23" s="67"/>
      <c r="F23" s="68"/>
      <c r="G23" s="68"/>
    </row>
    <row r="24" spans="2:7" ht="13.95" customHeight="1" x14ac:dyDescent="0.25">
      <c r="B24" s="952" t="s">
        <v>1038</v>
      </c>
      <c r="C24" s="952"/>
      <c r="D24" s="952"/>
      <c r="E24" s="952"/>
      <c r="F24" s="68"/>
      <c r="G24" s="68"/>
    </row>
    <row r="25" spans="2:7" ht="14.1" customHeight="1" x14ac:dyDescent="0.2">
      <c r="D25" s="62"/>
    </row>
    <row r="26" spans="2:7" ht="14.1" customHeight="1" x14ac:dyDescent="0.2">
      <c r="B26" s="950"/>
      <c r="C26" s="950"/>
      <c r="D26" s="950"/>
      <c r="E26" s="950"/>
    </row>
    <row r="27" spans="2:7" ht="14.1" customHeight="1" x14ac:dyDescent="0.2">
      <c r="B27" s="950"/>
      <c r="C27" s="950"/>
      <c r="D27" s="950"/>
      <c r="E27" s="950"/>
    </row>
    <row r="28" spans="2:7" ht="14.1" customHeight="1" x14ac:dyDescent="0.2">
      <c r="B28" s="950"/>
      <c r="C28" s="950"/>
      <c r="D28" s="950"/>
      <c r="E28" s="950"/>
    </row>
    <row r="29" spans="2:7" ht="14.1" customHeight="1" x14ac:dyDescent="0.2">
      <c r="B29" s="950"/>
      <c r="C29" s="950"/>
      <c r="D29" s="950"/>
      <c r="E29" s="950"/>
    </row>
  </sheetData>
  <customSheetViews>
    <customSheetView guid="{EDC1BD6E-863A-4FC6-A3A9-F32079F4F0C1}" topLeftCell="A7">
      <selection activeCell="K30" sqref="K30"/>
      <pageMargins left="0.7" right="0.7" top="0.75" bottom="0.75" header="0.3" footer="0.3"/>
      <pageSetup paperSize="9" orientation="portrait" verticalDpi="0" r:id="rId1"/>
    </customSheetView>
  </customSheetViews>
  <mergeCells count="4">
    <mergeCell ref="B26:E29"/>
    <mergeCell ref="B4:E4"/>
    <mergeCell ref="B6:E6"/>
    <mergeCell ref="B24:E24"/>
  </mergeCells>
  <pageMargins left="0.70866141732283472" right="0.70866141732283472" top="0.74803149606299213" bottom="0.74803149606299213" header="0.31496062992125984" footer="0.31496062992125984"/>
  <pageSetup paperSize="9" orientation="portrait" r:id="rId2"/>
  <headerFooter>
    <oddHeader>&amp;C&amp;10Hull University Teaching Hospitals NHS Trust - Annual Accounts 2018/19</oddHeader>
    <oddFooter>&amp;C&amp;10Page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8" tint="0.39997558519241921"/>
  </sheetPr>
  <dimension ref="A1:N46"/>
  <sheetViews>
    <sheetView topLeftCell="A18" zoomScaleNormal="100" workbookViewId="0">
      <selection activeCell="B30" sqref="B30:F32"/>
    </sheetView>
  </sheetViews>
  <sheetFormatPr defaultColWidth="9.109375" defaultRowHeight="14.1" customHeight="1" x14ac:dyDescent="0.2"/>
  <cols>
    <col min="1" max="1" width="1.6640625" style="52" customWidth="1"/>
    <col min="2" max="2" width="37.77734375" style="25" customWidth="1"/>
    <col min="3" max="3" width="10.33203125" style="25" customWidth="1"/>
    <col min="4" max="4" width="11.33203125" style="25" customWidth="1"/>
    <col min="5" max="5" width="2.6640625" style="767" customWidth="1"/>
    <col min="6" max="6" width="8.6640625" style="25" customWidth="1"/>
    <col min="7" max="9" width="11.33203125" style="25" hidden="1" customWidth="1"/>
    <col min="10" max="10" width="10.33203125" style="25" hidden="1" customWidth="1"/>
    <col min="11" max="11" width="2.6640625" style="502" customWidth="1"/>
    <col min="12" max="12" width="8.6640625" style="25" customWidth="1"/>
    <col min="13" max="13" width="4.44140625" style="25" customWidth="1"/>
    <col min="14" max="16384" width="9.109375" style="25"/>
  </cols>
  <sheetData>
    <row r="1" spans="1:14" ht="14.1" customHeight="1" x14ac:dyDescent="0.25">
      <c r="A1" s="52">
        <f>ROUNDDOWN('Finance leases'!A1,0)+1</f>
        <v>26</v>
      </c>
      <c r="B1" s="123" t="str">
        <f>"Note "&amp;A1&amp; " Provisions for liabilities and charges analysis"</f>
        <v>Note 26 Provisions for liabilities and charges analysis</v>
      </c>
      <c r="C1" s="119"/>
      <c r="D1" s="119"/>
      <c r="E1" s="777"/>
      <c r="F1" s="119"/>
      <c r="G1" s="119"/>
      <c r="H1" s="119"/>
      <c r="I1" s="119"/>
      <c r="J1" s="119"/>
      <c r="K1" s="503"/>
      <c r="L1" s="119"/>
    </row>
    <row r="2" spans="1:14" ht="14.1" customHeight="1" x14ac:dyDescent="0.25">
      <c r="B2" s="119"/>
      <c r="C2" s="119"/>
      <c r="D2" s="119"/>
      <c r="E2" s="777"/>
      <c r="F2" s="119"/>
      <c r="G2" s="119"/>
      <c r="I2" s="119"/>
      <c r="J2" s="119"/>
      <c r="K2" s="503"/>
      <c r="L2" s="119"/>
    </row>
    <row r="3" spans="1:14" ht="48.45" customHeight="1" x14ac:dyDescent="0.25">
      <c r="B3" s="119"/>
      <c r="C3" s="117" t="s">
        <v>908</v>
      </c>
      <c r="D3" s="117" t="s">
        <v>922</v>
      </c>
      <c r="E3" s="778"/>
      <c r="F3" s="304" t="s">
        <v>609</v>
      </c>
      <c r="G3" s="304" t="s">
        <v>864</v>
      </c>
      <c r="H3" s="117" t="s">
        <v>562</v>
      </c>
      <c r="I3" s="117" t="s">
        <v>347</v>
      </c>
      <c r="J3" s="117" t="s">
        <v>314</v>
      </c>
      <c r="K3" s="512"/>
      <c r="L3" s="117" t="s">
        <v>360</v>
      </c>
    </row>
    <row r="4" spans="1:14" ht="14.1" customHeight="1" x14ac:dyDescent="0.25">
      <c r="B4" s="119"/>
      <c r="C4" s="117" t="s">
        <v>283</v>
      </c>
      <c r="D4" s="117" t="s">
        <v>250</v>
      </c>
      <c r="E4" s="778"/>
      <c r="F4" s="117" t="s">
        <v>250</v>
      </c>
      <c r="G4" s="117" t="s">
        <v>250</v>
      </c>
      <c r="H4" s="117" t="s">
        <v>250</v>
      </c>
      <c r="I4" s="117" t="s">
        <v>250</v>
      </c>
      <c r="J4" s="117" t="s">
        <v>250</v>
      </c>
      <c r="K4" s="512"/>
      <c r="L4" s="117" t="s">
        <v>283</v>
      </c>
    </row>
    <row r="5" spans="1:14" s="767" customFormat="1" ht="14.1" customHeight="1" x14ac:dyDescent="0.25">
      <c r="A5" s="722"/>
      <c r="B5" s="777"/>
      <c r="C5" s="778"/>
      <c r="D5" s="778"/>
      <c r="E5" s="778"/>
      <c r="F5" s="778"/>
      <c r="G5" s="778"/>
      <c r="H5" s="778"/>
      <c r="I5" s="778"/>
      <c r="J5" s="778"/>
      <c r="K5" s="778"/>
      <c r="L5" s="778"/>
    </row>
    <row r="6" spans="1:14" s="20" customFormat="1" ht="14.1" customHeight="1" x14ac:dyDescent="0.25">
      <c r="A6" s="54"/>
      <c r="B6" s="119" t="str">
        <f>"At " &amp; TEXT(CurrentYearStart,"d mmmm yyyy")</f>
        <v>At 1 April 2018</v>
      </c>
      <c r="C6" s="74">
        <v>196</v>
      </c>
      <c r="D6" s="246">
        <v>607</v>
      </c>
      <c r="E6" s="606"/>
      <c r="F6" s="246">
        <v>108</v>
      </c>
      <c r="G6" s="246">
        <v>0</v>
      </c>
      <c r="H6" s="246">
        <v>0</v>
      </c>
      <c r="I6" s="246">
        <v>0</v>
      </c>
      <c r="J6" s="246">
        <v>0</v>
      </c>
      <c r="K6" s="509"/>
      <c r="L6" s="74">
        <f>SUM(C6:J6)</f>
        <v>911</v>
      </c>
    </row>
    <row r="7" spans="1:14" s="20" customFormat="1" ht="14.1" hidden="1" customHeight="1" x14ac:dyDescent="0.25">
      <c r="A7" s="54"/>
      <c r="B7" s="119" t="s">
        <v>284</v>
      </c>
      <c r="C7" s="74">
        <v>0</v>
      </c>
      <c r="D7" s="185">
        <v>0</v>
      </c>
      <c r="E7" s="606"/>
      <c r="F7" s="185">
        <v>0</v>
      </c>
      <c r="G7" s="185">
        <v>0</v>
      </c>
      <c r="H7" s="185">
        <v>0</v>
      </c>
      <c r="I7" s="185">
        <v>0</v>
      </c>
      <c r="J7" s="185">
        <v>0</v>
      </c>
      <c r="K7" s="509"/>
      <c r="L7" s="243">
        <f t="shared" ref="L7:L14" si="0">SUM(C7:J7)</f>
        <v>0</v>
      </c>
      <c r="M7" s="348"/>
      <c r="N7" s="131"/>
    </row>
    <row r="8" spans="1:14" ht="14.1" hidden="1" customHeight="1" x14ac:dyDescent="0.25">
      <c r="B8" s="137" t="s">
        <v>371</v>
      </c>
      <c r="C8" s="62">
        <v>0</v>
      </c>
      <c r="D8" s="62">
        <v>0</v>
      </c>
      <c r="E8" s="670"/>
      <c r="F8" s="62">
        <v>0</v>
      </c>
      <c r="G8" s="62">
        <v>0</v>
      </c>
      <c r="H8" s="62">
        <v>0</v>
      </c>
      <c r="I8" s="62">
        <v>0</v>
      </c>
      <c r="J8" s="62">
        <v>0</v>
      </c>
      <c r="K8" s="507"/>
      <c r="L8" s="243">
        <f t="shared" si="0"/>
        <v>0</v>
      </c>
      <c r="M8" s="348"/>
      <c r="N8" s="267"/>
    </row>
    <row r="9" spans="1:14" ht="14.1" customHeight="1" x14ac:dyDescent="0.25">
      <c r="B9" s="137" t="s">
        <v>415</v>
      </c>
      <c r="C9" s="62">
        <v>207</v>
      </c>
      <c r="D9" s="62">
        <v>56</v>
      </c>
      <c r="E9" s="670"/>
      <c r="F9" s="62">
        <v>101</v>
      </c>
      <c r="G9" s="62">
        <v>0</v>
      </c>
      <c r="H9" s="62">
        <v>0</v>
      </c>
      <c r="I9" s="62">
        <v>0</v>
      </c>
      <c r="J9" s="62">
        <v>0</v>
      </c>
      <c r="K9" s="507"/>
      <c r="L9" s="243">
        <f t="shared" si="0"/>
        <v>364</v>
      </c>
      <c r="M9" s="348"/>
      <c r="N9" s="267"/>
    </row>
    <row r="10" spans="1:14" ht="14.1" customHeight="1" x14ac:dyDescent="0.25">
      <c r="B10" s="137" t="s">
        <v>469</v>
      </c>
      <c r="C10" s="62">
        <v>-64</v>
      </c>
      <c r="D10" s="62">
        <v>-62</v>
      </c>
      <c r="E10" s="670"/>
      <c r="F10" s="62">
        <v>-114</v>
      </c>
      <c r="G10" s="62">
        <v>0</v>
      </c>
      <c r="H10" s="62">
        <v>0</v>
      </c>
      <c r="I10" s="62">
        <v>0</v>
      </c>
      <c r="J10" s="62">
        <v>0</v>
      </c>
      <c r="K10" s="507"/>
      <c r="L10" s="243">
        <f t="shared" si="0"/>
        <v>-240</v>
      </c>
      <c r="M10" s="348"/>
      <c r="N10" s="267"/>
    </row>
    <row r="11" spans="1:14" ht="14.4" hidden="1" customHeight="1" x14ac:dyDescent="0.25">
      <c r="B11" s="137" t="s">
        <v>470</v>
      </c>
      <c r="C11" s="62">
        <v>0</v>
      </c>
      <c r="D11" s="62">
        <v>0</v>
      </c>
      <c r="E11" s="670"/>
      <c r="F11" s="62">
        <v>0</v>
      </c>
      <c r="G11" s="62">
        <v>0</v>
      </c>
      <c r="H11" s="62">
        <v>0</v>
      </c>
      <c r="I11" s="62">
        <v>0</v>
      </c>
      <c r="J11" s="62">
        <v>0</v>
      </c>
      <c r="K11" s="507"/>
      <c r="L11" s="243">
        <f t="shared" si="0"/>
        <v>0</v>
      </c>
      <c r="M11" s="348"/>
      <c r="N11" s="267"/>
    </row>
    <row r="12" spans="1:14" ht="14.1" customHeight="1" x14ac:dyDescent="0.25">
      <c r="B12" s="137" t="s">
        <v>416</v>
      </c>
      <c r="C12" s="62">
        <v>-19</v>
      </c>
      <c r="D12" s="62">
        <v>0</v>
      </c>
      <c r="E12" s="670"/>
      <c r="F12" s="62">
        <v>-1</v>
      </c>
      <c r="G12" s="62">
        <v>0</v>
      </c>
      <c r="H12" s="62">
        <v>0</v>
      </c>
      <c r="I12" s="62">
        <v>0</v>
      </c>
      <c r="J12" s="62">
        <v>0</v>
      </c>
      <c r="K12" s="507"/>
      <c r="L12" s="243">
        <f t="shared" si="0"/>
        <v>-20</v>
      </c>
      <c r="M12" s="348"/>
      <c r="N12" s="267"/>
    </row>
    <row r="13" spans="1:14" ht="14.1" customHeight="1" x14ac:dyDescent="0.25">
      <c r="B13" s="137" t="s">
        <v>417</v>
      </c>
      <c r="C13" s="62">
        <v>1</v>
      </c>
      <c r="D13" s="62">
        <v>12</v>
      </c>
      <c r="E13" s="670"/>
      <c r="F13" s="62">
        <v>2</v>
      </c>
      <c r="G13" s="62">
        <v>0</v>
      </c>
      <c r="H13" s="62">
        <v>0</v>
      </c>
      <c r="I13" s="62">
        <v>0</v>
      </c>
      <c r="J13" s="62">
        <v>0</v>
      </c>
      <c r="K13" s="507"/>
      <c r="L13" s="243">
        <f t="shared" si="0"/>
        <v>15</v>
      </c>
      <c r="M13" s="348"/>
      <c r="N13" s="267"/>
    </row>
    <row r="14" spans="1:14" s="183" customFormat="1" ht="14.1" hidden="1" customHeight="1" x14ac:dyDescent="0.25">
      <c r="A14" s="52"/>
      <c r="B14" s="221" t="s">
        <v>604</v>
      </c>
      <c r="C14" s="62">
        <v>0</v>
      </c>
      <c r="D14" s="62">
        <v>0</v>
      </c>
      <c r="E14" s="670"/>
      <c r="F14" s="62">
        <v>0</v>
      </c>
      <c r="G14" s="62">
        <v>0</v>
      </c>
      <c r="H14" s="62">
        <v>0</v>
      </c>
      <c r="I14" s="62">
        <v>0</v>
      </c>
      <c r="J14" s="62">
        <v>0</v>
      </c>
      <c r="K14" s="507"/>
      <c r="L14" s="243">
        <f t="shared" si="0"/>
        <v>0</v>
      </c>
      <c r="M14" s="348"/>
      <c r="N14" s="131"/>
    </row>
    <row r="15" spans="1:14" s="20" customFormat="1" ht="14.1" customHeight="1" thickBot="1" x14ac:dyDescent="0.3">
      <c r="A15" s="54"/>
      <c r="B15" s="123" t="str">
        <f>"At " &amp; TEXT(CurrentYearEnd, "d mmmm yyyy")</f>
        <v>At 31 March 2019</v>
      </c>
      <c r="C15" s="522">
        <f>SUM(C6:C14)</f>
        <v>321</v>
      </c>
      <c r="D15" s="522">
        <f>SUM(D6:D14)</f>
        <v>613</v>
      </c>
      <c r="E15" s="684"/>
      <c r="F15" s="522">
        <f>SUM(F6:F14)</f>
        <v>96</v>
      </c>
      <c r="G15" s="515">
        <f>SUM(G6:G14)</f>
        <v>0</v>
      </c>
      <c r="H15" s="515">
        <f>SUM(H6:H14)</f>
        <v>0</v>
      </c>
      <c r="I15" s="515">
        <f>SUM(I6:I14)</f>
        <v>0</v>
      </c>
      <c r="J15" s="515">
        <f>SUM(J6:J14)</f>
        <v>0</v>
      </c>
      <c r="K15" s="510"/>
      <c r="L15" s="522">
        <f>SUM(L6:L14)</f>
        <v>1030</v>
      </c>
      <c r="N15" s="69"/>
    </row>
    <row r="16" spans="1:14" s="503" customFormat="1" ht="14.1" customHeight="1" thickTop="1" x14ac:dyDescent="0.25">
      <c r="A16" s="506"/>
      <c r="B16" s="513"/>
      <c r="C16" s="510"/>
      <c r="D16" s="510"/>
      <c r="E16" s="684"/>
      <c r="F16" s="510"/>
      <c r="G16" s="510"/>
      <c r="H16" s="510"/>
      <c r="I16" s="510"/>
      <c r="J16" s="510"/>
      <c r="K16" s="510"/>
      <c r="L16" s="510"/>
      <c r="N16" s="508"/>
    </row>
    <row r="17" spans="1:12" s="20" customFormat="1" ht="14.1" customHeight="1" x14ac:dyDescent="0.25">
      <c r="A17" s="54"/>
      <c r="B17" s="119" t="s">
        <v>418</v>
      </c>
      <c r="C17" s="62"/>
      <c r="D17" s="62"/>
      <c r="E17" s="685"/>
      <c r="F17" s="62"/>
      <c r="G17" s="62"/>
      <c r="H17" s="62"/>
      <c r="I17" s="62"/>
      <c r="J17" s="62"/>
      <c r="K17" s="511"/>
      <c r="L17" s="62"/>
    </row>
    <row r="18" spans="1:12" ht="14.1" customHeight="1" x14ac:dyDescent="0.25">
      <c r="B18" s="158" t="s">
        <v>316</v>
      </c>
      <c r="C18" s="62">
        <v>65</v>
      </c>
      <c r="D18" s="62">
        <v>62</v>
      </c>
      <c r="E18" s="685"/>
      <c r="F18" s="62">
        <v>32</v>
      </c>
      <c r="G18" s="62">
        <v>0</v>
      </c>
      <c r="H18" s="62">
        <v>0</v>
      </c>
      <c r="I18" s="62">
        <v>0</v>
      </c>
      <c r="J18" s="62">
        <v>0</v>
      </c>
      <c r="K18" s="511"/>
      <c r="L18" s="243">
        <f t="shared" ref="L18:L20" si="1">SUM(C18:J18)</f>
        <v>159</v>
      </c>
    </row>
    <row r="19" spans="1:12" ht="17.399999999999999" customHeight="1" x14ac:dyDescent="0.25">
      <c r="B19" s="158" t="s">
        <v>317</v>
      </c>
      <c r="C19" s="62">
        <v>235</v>
      </c>
      <c r="D19" s="62">
        <v>248</v>
      </c>
      <c r="E19" s="685"/>
      <c r="F19" s="62">
        <v>64</v>
      </c>
      <c r="G19" s="62">
        <v>0</v>
      </c>
      <c r="H19" s="62">
        <v>0</v>
      </c>
      <c r="I19" s="62">
        <v>0</v>
      </c>
      <c r="J19" s="62">
        <v>0</v>
      </c>
      <c r="K19" s="511"/>
      <c r="L19" s="243">
        <f t="shared" si="1"/>
        <v>547</v>
      </c>
    </row>
    <row r="20" spans="1:12" ht="14.1" customHeight="1" x14ac:dyDescent="0.25">
      <c r="B20" s="158" t="s">
        <v>318</v>
      </c>
      <c r="C20" s="62">
        <v>21</v>
      </c>
      <c r="D20" s="62">
        <v>303</v>
      </c>
      <c r="E20" s="685"/>
      <c r="F20" s="62">
        <v>0</v>
      </c>
      <c r="G20" s="62">
        <v>0</v>
      </c>
      <c r="H20" s="62">
        <v>0</v>
      </c>
      <c r="I20" s="62">
        <v>0</v>
      </c>
      <c r="J20" s="62">
        <v>0</v>
      </c>
      <c r="K20" s="511"/>
      <c r="L20" s="243">
        <f t="shared" si="1"/>
        <v>324</v>
      </c>
    </row>
    <row r="21" spans="1:12" s="20" customFormat="1" ht="14.1" customHeight="1" thickBot="1" x14ac:dyDescent="0.3">
      <c r="A21" s="54"/>
      <c r="B21" s="123" t="s">
        <v>282</v>
      </c>
      <c r="C21" s="63">
        <f>SUM(C18:C20)</f>
        <v>321</v>
      </c>
      <c r="D21" s="241">
        <f t="shared" ref="D21:L21" si="2">SUM(D18:D20)</f>
        <v>613</v>
      </c>
      <c r="E21" s="684"/>
      <c r="F21" s="241">
        <f t="shared" si="2"/>
        <v>96</v>
      </c>
      <c r="G21" s="241">
        <f t="shared" si="2"/>
        <v>0</v>
      </c>
      <c r="H21" s="241">
        <f t="shared" si="2"/>
        <v>0</v>
      </c>
      <c r="I21" s="241">
        <f t="shared" si="2"/>
        <v>0</v>
      </c>
      <c r="J21" s="241">
        <f t="shared" si="2"/>
        <v>0</v>
      </c>
      <c r="K21" s="510"/>
      <c r="L21" s="241">
        <f t="shared" si="2"/>
        <v>1030</v>
      </c>
    </row>
    <row r="22" spans="1:12" s="777" customFormat="1" ht="14.1" customHeight="1" thickTop="1" x14ac:dyDescent="0.25">
      <c r="A22" s="506"/>
      <c r="B22" s="781"/>
      <c r="C22" s="515"/>
      <c r="D22" s="515"/>
      <c r="E22" s="684"/>
      <c r="F22" s="515"/>
      <c r="G22" s="515"/>
      <c r="H22" s="515"/>
      <c r="I22" s="515"/>
      <c r="J22" s="515"/>
      <c r="K22" s="684"/>
      <c r="L22" s="515"/>
    </row>
    <row r="23" spans="1:12" ht="14.1" customHeight="1" x14ac:dyDescent="0.2">
      <c r="C23" s="55"/>
      <c r="D23" s="55"/>
      <c r="E23" s="55"/>
      <c r="F23" s="55"/>
      <c r="G23" s="55"/>
      <c r="H23" s="55"/>
      <c r="I23" s="55"/>
      <c r="J23" s="55"/>
      <c r="K23" s="55"/>
      <c r="L23" s="55"/>
    </row>
    <row r="24" spans="1:12" ht="14.1" customHeight="1" x14ac:dyDescent="0.2">
      <c r="B24" s="929" t="s">
        <v>1077</v>
      </c>
      <c r="C24" s="929"/>
      <c r="D24" s="929"/>
      <c r="E24" s="929"/>
      <c r="F24" s="929"/>
      <c r="G24" s="929"/>
      <c r="H24" s="929"/>
      <c r="I24" s="929"/>
      <c r="J24" s="929"/>
      <c r="K24" s="929"/>
      <c r="L24" s="929"/>
    </row>
    <row r="25" spans="1:12" ht="14.1" customHeight="1" x14ac:dyDescent="0.2">
      <c r="B25" s="929"/>
      <c r="C25" s="929"/>
      <c r="D25" s="929"/>
      <c r="E25" s="929"/>
      <c r="F25" s="929"/>
      <c r="G25" s="929"/>
      <c r="H25" s="929"/>
      <c r="I25" s="929"/>
      <c r="J25" s="929"/>
      <c r="K25" s="929"/>
      <c r="L25" s="929"/>
    </row>
    <row r="26" spans="1:12" ht="20.399999999999999" customHeight="1" x14ac:dyDescent="0.2">
      <c r="B26" s="929"/>
      <c r="C26" s="929"/>
      <c r="D26" s="929"/>
      <c r="E26" s="929"/>
      <c r="F26" s="929"/>
      <c r="G26" s="929"/>
      <c r="H26" s="929"/>
      <c r="I26" s="929"/>
      <c r="J26" s="929"/>
      <c r="K26" s="929"/>
      <c r="L26" s="929"/>
    </row>
    <row r="27" spans="1:12" ht="13.95" hidden="1" customHeight="1" x14ac:dyDescent="0.2">
      <c r="B27" s="929"/>
      <c r="C27" s="929"/>
      <c r="D27" s="929"/>
      <c r="E27" s="929"/>
      <c r="F27" s="929"/>
      <c r="G27" s="929"/>
      <c r="H27" s="929"/>
      <c r="I27" s="929"/>
      <c r="J27" s="929"/>
      <c r="K27" s="929"/>
      <c r="L27" s="929"/>
    </row>
    <row r="28" spans="1:12" ht="13.95" hidden="1" customHeight="1" x14ac:dyDescent="0.2">
      <c r="B28" s="929"/>
      <c r="C28" s="929"/>
      <c r="D28" s="929"/>
      <c r="E28" s="929"/>
      <c r="F28" s="929"/>
      <c r="G28" s="929"/>
      <c r="H28" s="929"/>
      <c r="I28" s="929"/>
      <c r="J28" s="929"/>
      <c r="K28" s="929"/>
      <c r="L28" s="929"/>
    </row>
    <row r="29" spans="1:12" s="502" customFormat="1" ht="12" customHeight="1" x14ac:dyDescent="0.2">
      <c r="A29" s="505"/>
      <c r="B29" s="523"/>
      <c r="C29" s="523"/>
      <c r="D29" s="523"/>
      <c r="E29" s="770"/>
      <c r="F29" s="523"/>
      <c r="G29" s="523"/>
      <c r="H29" s="523"/>
      <c r="I29" s="523"/>
      <c r="J29" s="523"/>
      <c r="K29" s="523"/>
      <c r="L29" s="523"/>
    </row>
    <row r="30" spans="1:12" s="673" customFormat="1" ht="61.2" customHeight="1" x14ac:dyDescent="0.2">
      <c r="A30" s="680"/>
      <c r="B30" s="910" t="s">
        <v>1078</v>
      </c>
      <c r="C30" s="910"/>
      <c r="D30" s="910"/>
      <c r="E30" s="910"/>
      <c r="F30" s="910"/>
      <c r="G30" s="910"/>
      <c r="H30" s="910"/>
      <c r="I30" s="910"/>
      <c r="J30" s="910"/>
      <c r="K30" s="910"/>
      <c r="L30" s="910"/>
    </row>
    <row r="31" spans="1:12" s="673" customFormat="1" ht="9.6" customHeight="1" x14ac:dyDescent="0.2">
      <c r="A31" s="680"/>
      <c r="B31" s="695"/>
      <c r="C31" s="695"/>
      <c r="D31" s="695"/>
      <c r="E31" s="770"/>
      <c r="F31" s="695"/>
      <c r="G31" s="695"/>
      <c r="H31" s="695"/>
      <c r="I31" s="695"/>
      <c r="J31" s="695"/>
      <c r="K31" s="695"/>
      <c r="L31" s="695"/>
    </row>
    <row r="32" spans="1:12" s="502" customFormat="1" ht="24.6" customHeight="1" x14ac:dyDescent="0.2">
      <c r="A32" s="505"/>
      <c r="B32" s="910" t="s">
        <v>1039</v>
      </c>
      <c r="C32" s="910"/>
      <c r="D32" s="910"/>
      <c r="E32" s="910"/>
      <c r="F32" s="910"/>
      <c r="G32" s="910"/>
      <c r="H32" s="910"/>
      <c r="I32" s="910"/>
      <c r="J32" s="910"/>
      <c r="K32" s="910"/>
      <c r="L32" s="910"/>
    </row>
    <row r="33" spans="1:12" s="502" customFormat="1" ht="7.95" customHeight="1" x14ac:dyDescent="0.2">
      <c r="A33" s="505"/>
      <c r="B33" s="523"/>
      <c r="C33" s="523"/>
      <c r="D33" s="523"/>
      <c r="E33" s="770"/>
      <c r="F33" s="523"/>
      <c r="G33" s="523"/>
      <c r="H33" s="523"/>
      <c r="I33" s="523"/>
      <c r="J33" s="523"/>
      <c r="K33" s="523"/>
      <c r="L33" s="523"/>
    </row>
    <row r="34" spans="1:12" ht="24.6" customHeight="1" x14ac:dyDescent="0.2">
      <c r="B34" s="940" t="s">
        <v>1195</v>
      </c>
      <c r="C34" s="940"/>
      <c r="D34" s="940"/>
      <c r="E34" s="940"/>
      <c r="F34" s="940"/>
      <c r="G34" s="940"/>
      <c r="H34" s="940"/>
      <c r="I34" s="940"/>
      <c r="J34" s="940"/>
      <c r="K34" s="940"/>
      <c r="L34" s="940"/>
    </row>
    <row r="35" spans="1:12" s="502" customFormat="1" ht="10.199999999999999" customHeight="1" x14ac:dyDescent="0.2">
      <c r="A35" s="505"/>
      <c r="B35" s="514"/>
      <c r="C35" s="514"/>
      <c r="D35" s="514"/>
      <c r="E35" s="766"/>
      <c r="F35" s="514"/>
      <c r="G35" s="514"/>
      <c r="H35" s="514"/>
      <c r="I35" s="514"/>
      <c r="J35" s="514"/>
      <c r="K35" s="514"/>
      <c r="L35" s="514"/>
    </row>
    <row r="36" spans="1:12" s="502" customFormat="1" ht="24.6" customHeight="1" x14ac:dyDescent="0.2">
      <c r="A36" s="505">
        <f>A1+1</f>
        <v>27</v>
      </c>
      <c r="B36" s="930"/>
      <c r="C36" s="930"/>
      <c r="D36" s="930"/>
      <c r="E36" s="930"/>
      <c r="F36" s="930"/>
      <c r="G36" s="930"/>
      <c r="H36" s="930"/>
      <c r="I36" s="930"/>
      <c r="J36" s="930"/>
      <c r="K36" s="930"/>
      <c r="L36" s="930"/>
    </row>
    <row r="37" spans="1:12" s="767" customFormat="1" ht="24.6" customHeight="1" x14ac:dyDescent="0.2">
      <c r="A37" s="722"/>
      <c r="B37" s="766"/>
      <c r="C37" s="766"/>
      <c r="D37" s="766"/>
      <c r="E37" s="766"/>
      <c r="F37" s="766"/>
      <c r="G37" s="766"/>
      <c r="H37" s="766"/>
      <c r="I37" s="766"/>
      <c r="J37" s="766"/>
      <c r="K37" s="766"/>
      <c r="L37" s="766"/>
    </row>
    <row r="38" spans="1:12" s="767" customFormat="1" ht="24.6" customHeight="1" x14ac:dyDescent="0.2">
      <c r="A38" s="722"/>
      <c r="B38" s="766"/>
      <c r="C38" s="766"/>
      <c r="D38" s="766"/>
      <c r="E38" s="766"/>
      <c r="F38" s="766"/>
      <c r="G38" s="766"/>
      <c r="H38" s="766"/>
      <c r="I38" s="766"/>
      <c r="J38" s="766"/>
      <c r="K38" s="766"/>
      <c r="L38" s="766"/>
    </row>
    <row r="39" spans="1:12" s="767" customFormat="1" ht="24.6" customHeight="1" x14ac:dyDescent="0.2">
      <c r="A39" s="722"/>
      <c r="B39" s="766"/>
      <c r="C39" s="766"/>
      <c r="D39" s="766"/>
      <c r="E39" s="766"/>
      <c r="F39" s="766"/>
      <c r="G39" s="766"/>
      <c r="H39" s="766"/>
      <c r="I39" s="766"/>
      <c r="J39" s="766"/>
      <c r="K39" s="766"/>
      <c r="L39" s="766"/>
    </row>
    <row r="40" spans="1:12" s="767" customFormat="1" ht="24.6" customHeight="1" x14ac:dyDescent="0.2">
      <c r="A40" s="722"/>
      <c r="B40" s="766"/>
      <c r="C40" s="766"/>
      <c r="D40" s="766"/>
      <c r="E40" s="766"/>
      <c r="F40" s="766"/>
      <c r="G40" s="766"/>
      <c r="H40" s="766"/>
      <c r="I40" s="766"/>
      <c r="J40" s="766"/>
      <c r="K40" s="766"/>
      <c r="L40" s="766"/>
    </row>
    <row r="41" spans="1:12" s="767" customFormat="1" ht="24.6" customHeight="1" x14ac:dyDescent="0.2">
      <c r="A41" s="722"/>
      <c r="B41" s="766"/>
      <c r="C41" s="766"/>
      <c r="D41" s="766"/>
      <c r="E41" s="766"/>
      <c r="F41" s="766"/>
      <c r="G41" s="766"/>
      <c r="H41" s="766"/>
      <c r="I41" s="766"/>
      <c r="J41" s="766"/>
      <c r="K41" s="766"/>
      <c r="L41" s="766"/>
    </row>
    <row r="42" spans="1:12" s="767" customFormat="1" ht="24.6" customHeight="1" x14ac:dyDescent="0.2">
      <c r="A42" s="722"/>
      <c r="B42" s="766"/>
      <c r="C42" s="766"/>
      <c r="D42" s="766"/>
      <c r="E42" s="766"/>
      <c r="F42" s="766"/>
      <c r="G42" s="766"/>
      <c r="H42" s="766"/>
      <c r="I42" s="766"/>
      <c r="J42" s="766"/>
      <c r="K42" s="766"/>
      <c r="L42" s="766"/>
    </row>
    <row r="43" spans="1:12" s="767" customFormat="1" ht="24.6" customHeight="1" x14ac:dyDescent="0.2">
      <c r="A43" s="722"/>
      <c r="B43" s="766"/>
      <c r="C43" s="766"/>
      <c r="D43" s="766"/>
      <c r="E43" s="766"/>
      <c r="F43" s="766"/>
      <c r="G43" s="766"/>
      <c r="H43" s="766"/>
      <c r="I43" s="766"/>
      <c r="J43" s="766"/>
      <c r="K43" s="766"/>
      <c r="L43" s="766"/>
    </row>
    <row r="44" spans="1:12" s="767" customFormat="1" ht="24.6" customHeight="1" x14ac:dyDescent="0.2">
      <c r="A44" s="722"/>
      <c r="B44" s="766"/>
      <c r="C44" s="766"/>
      <c r="D44" s="766"/>
      <c r="E44" s="766"/>
      <c r="F44" s="766"/>
      <c r="G44" s="766"/>
      <c r="H44" s="766"/>
      <c r="I44" s="766"/>
      <c r="J44" s="766"/>
      <c r="K44" s="766"/>
      <c r="L44" s="766"/>
    </row>
    <row r="45" spans="1:12" s="767" customFormat="1" ht="24.6" customHeight="1" x14ac:dyDescent="0.2">
      <c r="A45" s="722"/>
      <c r="B45" s="766"/>
      <c r="C45" s="766"/>
      <c r="D45" s="766"/>
      <c r="E45" s="766"/>
      <c r="F45" s="766"/>
      <c r="G45" s="766"/>
      <c r="H45" s="766"/>
      <c r="I45" s="766"/>
      <c r="J45" s="766"/>
      <c r="K45" s="766"/>
      <c r="L45" s="766"/>
    </row>
    <row r="46" spans="1:12" s="502" customFormat="1" ht="12" customHeight="1" x14ac:dyDescent="0.2">
      <c r="A46" s="505"/>
      <c r="B46" s="514"/>
      <c r="C46" s="514"/>
      <c r="D46" s="514"/>
      <c r="E46" s="766"/>
      <c r="F46" s="514"/>
      <c r="G46" s="514"/>
      <c r="H46" s="514"/>
      <c r="I46" s="514"/>
      <c r="J46" s="514"/>
      <c r="K46" s="514"/>
      <c r="L46" s="514"/>
    </row>
  </sheetData>
  <customSheetViews>
    <customSheetView guid="{EDC1BD6E-863A-4FC6-A3A9-F32079F4F0C1}">
      <selection activeCell="Q26" sqref="Q26"/>
      <pageMargins left="0.25" right="0.25" top="0.75" bottom="0.75" header="0.3" footer="0.3"/>
      <pageSetup paperSize="9" orientation="landscape" verticalDpi="0" r:id="rId1"/>
    </customSheetView>
  </customSheetViews>
  <mergeCells count="5">
    <mergeCell ref="B24:L28"/>
    <mergeCell ref="B32:L32"/>
    <mergeCell ref="B34:L34"/>
    <mergeCell ref="B36:L36"/>
    <mergeCell ref="B30:L30"/>
  </mergeCells>
  <pageMargins left="0.70866141732283472" right="0.70866141732283472" top="0.74803149606299213" bottom="0.74803149606299213" header="0.31496062992125984" footer="0.31496062992125984"/>
  <pageSetup paperSize="9" orientation="portrait" r:id="rId2"/>
  <headerFooter>
    <oddHeader>&amp;C&amp;10Hull University Teaching Hospitals NHS Trust - Annual Accounts 2018/19</oddHeader>
    <oddFooter>&amp;C&amp;10Page &amp;P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I26"/>
  <sheetViews>
    <sheetView zoomScaleNormal="100" workbookViewId="0">
      <selection activeCell="B30" sqref="B30:F32"/>
    </sheetView>
  </sheetViews>
  <sheetFormatPr defaultColWidth="9.109375" defaultRowHeight="14.1" customHeight="1" x14ac:dyDescent="0.2"/>
  <cols>
    <col min="1" max="1" width="1.109375" style="52" customWidth="1"/>
    <col min="2" max="2" width="62.33203125" style="25" customWidth="1"/>
    <col min="3" max="3" width="8.6640625" style="25" customWidth="1"/>
    <col min="4" max="4" width="2.6640625" style="25" customWidth="1"/>
    <col min="5" max="5" width="8.6640625" style="25" customWidth="1"/>
    <col min="6" max="9" width="9.109375" style="25"/>
    <col min="10" max="11" width="9.109375" style="25" customWidth="1"/>
    <col min="12" max="16384" width="9.109375" style="25"/>
  </cols>
  <sheetData>
    <row r="1" spans="1:9" ht="14.1" customHeight="1" x14ac:dyDescent="0.25">
      <c r="A1" s="52">
        <f>Provisions!A1+0.1</f>
        <v>26.1</v>
      </c>
      <c r="B1" s="119"/>
    </row>
    <row r="2" spans="1:9" ht="14.1" customHeight="1" x14ac:dyDescent="0.25">
      <c r="A2" s="52">
        <f>ROUNDDOWN(A1,0)+1</f>
        <v>27</v>
      </c>
      <c r="B2" s="119" t="str">
        <f>"Note "&amp;A2&amp; " Contingent assets and liabilities"</f>
        <v>Note 27 Contingent assets and liabilities</v>
      </c>
    </row>
    <row r="3" spans="1:9" ht="28.2" customHeight="1" x14ac:dyDescent="0.25">
      <c r="C3" s="117" t="str">
        <f>TEXT(CurrentYearEnd, "d mmmm yyyy")</f>
        <v>31 March 2019</v>
      </c>
      <c r="D3" s="117"/>
      <c r="E3" s="624" t="str">
        <f>TEXT(ComparativeYearEnd, "d mmmm yyyy")</f>
        <v>31 March 2018</v>
      </c>
    </row>
    <row r="4" spans="1:9" ht="14.1" customHeight="1" x14ac:dyDescent="0.25">
      <c r="C4" s="117" t="s">
        <v>283</v>
      </c>
      <c r="D4" s="117"/>
      <c r="E4" s="624" t="s">
        <v>283</v>
      </c>
    </row>
    <row r="5" spans="1:9" ht="14.1" customHeight="1" x14ac:dyDescent="0.25">
      <c r="B5" s="119" t="s">
        <v>419</v>
      </c>
      <c r="C5" s="30"/>
      <c r="D5" s="30"/>
      <c r="E5" s="600"/>
    </row>
    <row r="6" spans="1:9" ht="14.1" customHeight="1" x14ac:dyDescent="0.2">
      <c r="B6" s="137" t="s">
        <v>610</v>
      </c>
      <c r="C6" s="62">
        <v>-63</v>
      </c>
      <c r="D6" s="62"/>
      <c r="E6" s="620">
        <v>-62</v>
      </c>
    </row>
    <row r="7" spans="1:9" ht="14.1" hidden="1" customHeight="1" x14ac:dyDescent="0.2">
      <c r="B7" s="137"/>
      <c r="C7" s="258"/>
      <c r="D7" s="258"/>
      <c r="E7" s="620"/>
    </row>
    <row r="8" spans="1:9" ht="14.1" hidden="1" customHeight="1" x14ac:dyDescent="0.2">
      <c r="B8" s="137"/>
      <c r="C8" s="258"/>
      <c r="D8" s="258"/>
      <c r="E8" s="620"/>
    </row>
    <row r="9" spans="1:9" ht="14.1" customHeight="1" x14ac:dyDescent="0.2">
      <c r="B9" s="137" t="s">
        <v>314</v>
      </c>
      <c r="C9" s="258">
        <v>-558</v>
      </c>
      <c r="D9" s="258"/>
      <c r="E9" s="620">
        <v>-492</v>
      </c>
    </row>
    <row r="10" spans="1:9" s="822" customFormat="1" ht="14.1" customHeight="1" x14ac:dyDescent="0.2">
      <c r="A10" s="722"/>
      <c r="B10" s="823"/>
      <c r="C10" s="670"/>
      <c r="D10" s="670"/>
      <c r="E10" s="671"/>
    </row>
    <row r="11" spans="1:9" ht="14.1" customHeight="1" x14ac:dyDescent="0.3">
      <c r="B11" s="123" t="s">
        <v>420</v>
      </c>
      <c r="C11" s="242">
        <f>SUM(C5:C9)</f>
        <v>-621</v>
      </c>
      <c r="D11" s="244"/>
      <c r="E11" s="621">
        <f>SUM(E5:E9)</f>
        <v>-554</v>
      </c>
    </row>
    <row r="12" spans="1:9" ht="44.4" customHeight="1" x14ac:dyDescent="0.2">
      <c r="D12" s="62"/>
    </row>
    <row r="13" spans="1:9" ht="14.1" customHeight="1" x14ac:dyDescent="0.2">
      <c r="B13" s="929" t="s">
        <v>1040</v>
      </c>
      <c r="C13" s="929"/>
      <c r="D13" s="929"/>
      <c r="E13" s="929"/>
      <c r="F13" s="71"/>
      <c r="G13" s="71"/>
      <c r="H13" s="71"/>
      <c r="I13" s="71"/>
    </row>
    <row r="14" spans="1:9" ht="7.2" customHeight="1" x14ac:dyDescent="0.2">
      <c r="B14" s="929"/>
      <c r="C14" s="929"/>
      <c r="D14" s="929"/>
      <c r="E14" s="929"/>
      <c r="F14" s="71"/>
      <c r="G14" s="71"/>
      <c r="H14" s="71"/>
      <c r="I14" s="71"/>
    </row>
    <row r="15" spans="1:9" ht="6" customHeight="1" x14ac:dyDescent="0.2">
      <c r="B15" s="929"/>
      <c r="C15" s="929"/>
      <c r="D15" s="929"/>
      <c r="E15" s="929"/>
      <c r="F15" s="71"/>
      <c r="G15" s="71"/>
      <c r="H15" s="71"/>
      <c r="I15" s="71"/>
    </row>
    <row r="16" spans="1:9" ht="2.4" customHeight="1" x14ac:dyDescent="0.2">
      <c r="B16" s="929"/>
      <c r="C16" s="929"/>
      <c r="D16" s="929"/>
      <c r="E16" s="929"/>
      <c r="F16" s="71"/>
      <c r="G16" s="71"/>
      <c r="H16" s="71"/>
      <c r="I16" s="71"/>
    </row>
    <row r="17" spans="1:9" s="877" customFormat="1" ht="2.4" customHeight="1" x14ac:dyDescent="0.2">
      <c r="A17" s="722"/>
      <c r="B17" s="878"/>
      <c r="C17" s="878"/>
      <c r="D17" s="878"/>
      <c r="E17" s="878"/>
      <c r="F17" s="612"/>
      <c r="G17" s="612"/>
      <c r="H17" s="612"/>
      <c r="I17" s="612"/>
    </row>
    <row r="18" spans="1:9" s="877" customFormat="1" ht="2.4" customHeight="1" x14ac:dyDescent="0.2">
      <c r="A18" s="722"/>
      <c r="B18" s="878"/>
      <c r="C18" s="878"/>
      <c r="D18" s="878"/>
      <c r="E18" s="878"/>
      <c r="F18" s="612"/>
      <c r="G18" s="612"/>
      <c r="H18" s="612"/>
      <c r="I18" s="612"/>
    </row>
    <row r="19" spans="1:9" s="877" customFormat="1" ht="19.2" customHeight="1" x14ac:dyDescent="0.2">
      <c r="A19" s="722"/>
      <c r="B19" s="878" t="s">
        <v>1196</v>
      </c>
      <c r="C19" s="878"/>
      <c r="D19" s="878"/>
      <c r="E19" s="878"/>
      <c r="F19" s="612"/>
      <c r="G19" s="612"/>
      <c r="H19" s="612"/>
      <c r="I19" s="612"/>
    </row>
    <row r="21" spans="1:9" ht="14.1" customHeight="1" x14ac:dyDescent="0.25">
      <c r="A21" s="52">
        <f>ROUNDDOWN(A2,0)+1</f>
        <v>28</v>
      </c>
      <c r="B21" s="119" t="str">
        <f>"Note "&amp;A21&amp; " Contractual capital commitments"</f>
        <v>Note 28 Contractual capital commitments</v>
      </c>
    </row>
    <row r="22" spans="1:9" s="502" customFormat="1" ht="14.1" customHeight="1" x14ac:dyDescent="0.25">
      <c r="A22" s="505"/>
      <c r="B22" s="503"/>
    </row>
    <row r="23" spans="1:9" s="502" customFormat="1" ht="18.600000000000001" customHeight="1" x14ac:dyDescent="0.2">
      <c r="A23" s="505"/>
      <c r="B23" s="953" t="s">
        <v>1148</v>
      </c>
      <c r="C23" s="953"/>
      <c r="D23" s="953"/>
      <c r="E23" s="953"/>
    </row>
    <row r="24" spans="1:9" s="502" customFormat="1" ht="14.1" customHeight="1" x14ac:dyDescent="0.25">
      <c r="A24" s="505"/>
      <c r="B24" s="503"/>
    </row>
    <row r="26" spans="1:9" ht="14.1" customHeight="1" x14ac:dyDescent="0.25">
      <c r="B26" s="190"/>
    </row>
  </sheetData>
  <customSheetViews>
    <customSheetView guid="{EDC1BD6E-863A-4FC6-A3A9-F32079F4F0C1}">
      <selection activeCell="O41" sqref="O41"/>
      <pageMargins left="0.7" right="0.7" top="0.75" bottom="0.75" header="0.3" footer="0.3"/>
      <pageSetup paperSize="9" orientation="portrait" verticalDpi="0" r:id="rId1"/>
    </customSheetView>
  </customSheetViews>
  <mergeCells count="2">
    <mergeCell ref="B13:E16"/>
    <mergeCell ref="B23:E23"/>
  </mergeCells>
  <pageMargins left="0.70866141732283472" right="0.70866141732283472" top="0.74803149606299213" bottom="0.74803149606299213" header="0.31496062992125984" footer="0.31496062992125984"/>
  <pageSetup paperSize="9" orientation="portrait" r:id="rId2"/>
  <headerFooter>
    <oddHeader>&amp;C&amp;10Hull University Teaching Hospitals NHS Trust - Annual Accounts 2018/19</oddHeader>
    <oddFooter>&amp;C&amp;10Page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F43"/>
  <sheetViews>
    <sheetView zoomScaleNormal="100" workbookViewId="0">
      <selection activeCell="B30" sqref="B30:F32"/>
    </sheetView>
  </sheetViews>
  <sheetFormatPr defaultColWidth="9.109375" defaultRowHeight="14.1" customHeight="1" x14ac:dyDescent="0.2"/>
  <cols>
    <col min="1" max="1" width="1.6640625" style="52" customWidth="1"/>
    <col min="2" max="2" width="62.33203125" style="25" customWidth="1"/>
    <col min="3" max="3" width="8.6640625" style="25" customWidth="1"/>
    <col min="4" max="4" width="2.109375" style="25" customWidth="1"/>
    <col min="5" max="5" width="8.6640625" style="554" customWidth="1"/>
    <col min="6" max="16384" width="9.109375" style="25"/>
  </cols>
  <sheetData>
    <row r="1" spans="1:6" ht="14.1" customHeight="1" x14ac:dyDescent="0.25">
      <c r="A1" s="52">
        <f>'C&amp;O'!A21+1</f>
        <v>29</v>
      </c>
      <c r="B1" s="119" t="str">
        <f>"Note "&amp; A1&amp; " On-SoFP PFI arrangements"</f>
        <v>Note 29 On-SoFP PFI arrangements</v>
      </c>
    </row>
    <row r="2" spans="1:6" ht="14.1" customHeight="1" x14ac:dyDescent="0.2">
      <c r="B2" s="22"/>
    </row>
    <row r="3" spans="1:6" s="502" customFormat="1" ht="14.1" customHeight="1" x14ac:dyDescent="0.2">
      <c r="A3" s="505"/>
      <c r="B3" s="480" t="s">
        <v>1041</v>
      </c>
      <c r="E3" s="554"/>
    </row>
    <row r="4" spans="1:6" s="502" customFormat="1" ht="7.95" customHeight="1" x14ac:dyDescent="0.2">
      <c r="A4" s="505"/>
      <c r="B4" s="504"/>
      <c r="E4" s="554"/>
    </row>
    <row r="5" spans="1:6" s="502" customFormat="1" ht="52.2" customHeight="1" x14ac:dyDescent="0.2">
      <c r="A5" s="505"/>
      <c r="B5" s="954" t="s">
        <v>1042</v>
      </c>
      <c r="C5" s="954"/>
      <c r="D5" s="954"/>
      <c r="E5" s="954"/>
    </row>
    <row r="6" spans="1:6" s="502" customFormat="1" ht="8.4" customHeight="1" x14ac:dyDescent="0.2">
      <c r="A6" s="505"/>
      <c r="B6" s="504"/>
      <c r="E6" s="554"/>
    </row>
    <row r="7" spans="1:6" s="502" customFormat="1" ht="14.1" customHeight="1" x14ac:dyDescent="0.25">
      <c r="A7" s="505"/>
      <c r="B7" s="532" t="s">
        <v>1043</v>
      </c>
      <c r="C7" s="533"/>
      <c r="D7" s="530"/>
      <c r="E7" s="580"/>
      <c r="F7" s="531"/>
    </row>
    <row r="8" spans="1:6" s="502" customFormat="1" ht="28.2" customHeight="1" x14ac:dyDescent="0.3">
      <c r="A8" s="505"/>
      <c r="B8" s="955" t="s">
        <v>1044</v>
      </c>
      <c r="C8" s="955"/>
      <c r="D8" s="955"/>
      <c r="E8" s="955"/>
      <c r="F8" s="529"/>
    </row>
    <row r="9" spans="1:6" s="527" customFormat="1" ht="7.2" customHeight="1" x14ac:dyDescent="0.3">
      <c r="A9" s="528"/>
      <c r="B9" s="534"/>
      <c r="C9" s="534"/>
      <c r="D9" s="534"/>
      <c r="E9" s="586"/>
      <c r="F9" s="529"/>
    </row>
    <row r="10" spans="1:6" s="527" customFormat="1" ht="13.95" customHeight="1" x14ac:dyDescent="0.25">
      <c r="A10" s="528"/>
      <c r="B10" s="541" t="s">
        <v>1046</v>
      </c>
      <c r="C10" s="542"/>
      <c r="D10" s="539"/>
      <c r="E10" s="580"/>
      <c r="F10" s="540"/>
    </row>
    <row r="11" spans="1:6" s="527" customFormat="1" ht="28.2" customHeight="1" x14ac:dyDescent="0.3">
      <c r="A11" s="528"/>
      <c r="B11" s="955" t="s">
        <v>1045</v>
      </c>
      <c r="C11" s="955"/>
      <c r="D11" s="955"/>
      <c r="E11" s="955"/>
      <c r="F11" s="538"/>
    </row>
    <row r="12" spans="1:6" s="536" customFormat="1" ht="7.95" customHeight="1" x14ac:dyDescent="0.3">
      <c r="A12" s="537"/>
      <c r="B12" s="543"/>
      <c r="C12" s="543"/>
      <c r="D12" s="543"/>
      <c r="E12" s="586"/>
      <c r="F12" s="538"/>
    </row>
    <row r="13" spans="1:6" s="536" customFormat="1" ht="13.95" customHeight="1" x14ac:dyDescent="0.25">
      <c r="A13" s="537"/>
      <c r="B13" s="584" t="s">
        <v>1047</v>
      </c>
      <c r="C13" s="585"/>
      <c r="D13" s="580"/>
      <c r="E13" s="580"/>
      <c r="F13" s="583"/>
    </row>
    <row r="14" spans="1:6" ht="37.200000000000003" customHeight="1" x14ac:dyDescent="0.3">
      <c r="B14" s="955" t="s">
        <v>1048</v>
      </c>
      <c r="C14" s="955"/>
      <c r="D14" s="955"/>
      <c r="E14" s="955"/>
      <c r="F14" s="573"/>
    </row>
    <row r="15" spans="1:6" ht="14.1" customHeight="1" x14ac:dyDescent="0.2">
      <c r="B15" s="547"/>
      <c r="C15" s="545"/>
      <c r="D15" s="545"/>
      <c r="F15" s="545"/>
    </row>
    <row r="16" spans="1:6" ht="14.1" customHeight="1" x14ac:dyDescent="0.25">
      <c r="A16" s="52">
        <f>A1+0.1</f>
        <v>29.1</v>
      </c>
      <c r="B16" s="119" t="str">
        <f>"Note "&amp;A16&amp; " Imputed finance lease obligations"</f>
        <v>Note 29.1 Imputed finance lease obligations</v>
      </c>
    </row>
    <row r="17" spans="1:5" s="159" customFormat="1" ht="14.1" customHeight="1" x14ac:dyDescent="0.2">
      <c r="A17" s="52"/>
      <c r="B17" s="930" t="str">
        <f>SelectedFT&amp;" has the following obligations in respect of the finance lease element of on-Statement of Financial Position PFI and LIFT schemes:"</f>
        <v>Hull University Teaching Hospitals NHS Trust has the following obligations in respect of the finance lease element of on-Statement of Financial Position PFI and LIFT schemes:</v>
      </c>
      <c r="C17" s="930"/>
      <c r="D17" s="930"/>
      <c r="E17" s="930"/>
    </row>
    <row r="18" spans="1:5" s="159" customFormat="1" ht="14.1" customHeight="1" x14ac:dyDescent="0.2">
      <c r="A18" s="52"/>
      <c r="B18" s="930"/>
      <c r="C18" s="930"/>
      <c r="D18" s="930"/>
      <c r="E18" s="930"/>
    </row>
    <row r="19" spans="1:5" ht="28.2" customHeight="1" x14ac:dyDescent="0.25">
      <c r="B19" s="37"/>
      <c r="C19" s="117" t="str">
        <f>TEXT(CurrentYearEnd, "d mmmm yyyy")</f>
        <v>31 March 2019</v>
      </c>
      <c r="D19" s="117"/>
      <c r="E19" s="576" t="str">
        <f>TEXT(ComparativeYearEnd, "d mmmm yyyy")</f>
        <v>31 March 2018</v>
      </c>
    </row>
    <row r="20" spans="1:5" ht="14.1" customHeight="1" x14ac:dyDescent="0.25">
      <c r="C20" s="136" t="s">
        <v>283</v>
      </c>
      <c r="D20" s="136"/>
      <c r="E20" s="763" t="s">
        <v>283</v>
      </c>
    </row>
    <row r="21" spans="1:5" ht="24.6" customHeight="1" x14ac:dyDescent="0.25">
      <c r="B21" s="119" t="s">
        <v>423</v>
      </c>
      <c r="C21" s="796">
        <f>SUM(C23:C25)</f>
        <v>83332</v>
      </c>
      <c r="D21" s="62"/>
      <c r="E21" s="797">
        <f>SUM(E23:E25)</f>
        <v>88744</v>
      </c>
    </row>
    <row r="22" spans="1:5" ht="25.95" customHeight="1" x14ac:dyDescent="0.25">
      <c r="B22" s="119" t="s">
        <v>425</v>
      </c>
      <c r="C22" s="31"/>
      <c r="D22" s="62"/>
      <c r="E22" s="549"/>
    </row>
    <row r="23" spans="1:5" ht="14.1" customHeight="1" x14ac:dyDescent="0.2">
      <c r="B23" s="137" t="s">
        <v>316</v>
      </c>
      <c r="C23" s="62">
        <v>5399</v>
      </c>
      <c r="D23" s="62"/>
      <c r="E23" s="574">
        <v>5413</v>
      </c>
    </row>
    <row r="24" spans="1:5" ht="14.1" customHeight="1" x14ac:dyDescent="0.2">
      <c r="B24" s="137" t="s">
        <v>317</v>
      </c>
      <c r="C24" s="62">
        <v>20044</v>
      </c>
      <c r="D24" s="62"/>
      <c r="E24" s="574">
        <v>20357</v>
      </c>
    </row>
    <row r="25" spans="1:5" ht="14.1" customHeight="1" x14ac:dyDescent="0.2">
      <c r="B25" s="137" t="s">
        <v>318</v>
      </c>
      <c r="C25" s="62">
        <v>57889</v>
      </c>
      <c r="D25" s="62"/>
      <c r="E25" s="574">
        <v>62974</v>
      </c>
    </row>
    <row r="26" spans="1:5" ht="14.1" customHeight="1" x14ac:dyDescent="0.2">
      <c r="B26" s="122" t="s">
        <v>422</v>
      </c>
      <c r="C26" s="62">
        <v>-34858</v>
      </c>
      <c r="D26" s="62"/>
      <c r="E26" s="574">
        <v>-38493</v>
      </c>
    </row>
    <row r="27" spans="1:5" ht="14.1" customHeight="1" thickBot="1" x14ac:dyDescent="0.3">
      <c r="B27" s="123" t="s">
        <v>424</v>
      </c>
      <c r="C27" s="522">
        <f>SUM(C23:C26)</f>
        <v>48474</v>
      </c>
      <c r="D27" s="62"/>
      <c r="E27" s="821">
        <f>SUM(E23:E26)</f>
        <v>50251</v>
      </c>
    </row>
    <row r="28" spans="1:5" s="784" customFormat="1" ht="14.1" customHeight="1" thickTop="1" x14ac:dyDescent="0.25">
      <c r="A28" s="722"/>
      <c r="B28" s="786"/>
      <c r="C28" s="684"/>
      <c r="D28" s="685"/>
      <c r="E28" s="758"/>
    </row>
    <row r="29" spans="1:5" ht="14.1" customHeight="1" x14ac:dyDescent="0.2">
      <c r="B29" s="137" t="s">
        <v>316</v>
      </c>
      <c r="C29" s="62">
        <v>1894</v>
      </c>
      <c r="D29" s="62"/>
      <c r="E29" s="574">
        <v>1778</v>
      </c>
    </row>
    <row r="30" spans="1:5" ht="14.1" customHeight="1" x14ac:dyDescent="0.2">
      <c r="B30" s="137" t="s">
        <v>317</v>
      </c>
      <c r="C30" s="62">
        <v>7204</v>
      </c>
      <c r="D30" s="62"/>
      <c r="E30" s="574">
        <v>7063</v>
      </c>
    </row>
    <row r="31" spans="1:5" ht="14.1" customHeight="1" x14ac:dyDescent="0.2">
      <c r="B31" s="137" t="s">
        <v>318</v>
      </c>
      <c r="C31" s="62">
        <v>39376</v>
      </c>
      <c r="D31" s="62"/>
      <c r="E31" s="574">
        <v>41410</v>
      </c>
    </row>
    <row r="32" spans="1:5" ht="20.399999999999999" customHeight="1" x14ac:dyDescent="0.2">
      <c r="C32" s="62"/>
      <c r="D32" s="62"/>
      <c r="E32" s="574"/>
    </row>
    <row r="33" spans="1:6" ht="14.1" customHeight="1" x14ac:dyDescent="0.25">
      <c r="A33" s="52">
        <f>A16+0.1</f>
        <v>29.200000000000003</v>
      </c>
      <c r="B33" s="162" t="str">
        <f>"Note "&amp; A33&amp; " Total on-SoFP PFI, LIFT and other service concession arrangement commitments"</f>
        <v>Note 29.2 Total on-SoFP PFI, LIFT and other service concession arrangement commitments</v>
      </c>
      <c r="D33" s="62"/>
    </row>
    <row r="34" spans="1:6" s="159" customFormat="1" ht="14.25" customHeight="1" x14ac:dyDescent="0.2">
      <c r="A34" s="52"/>
      <c r="B34" s="913" t="s">
        <v>863</v>
      </c>
      <c r="C34" s="913"/>
      <c r="D34" s="913"/>
      <c r="E34" s="913"/>
    </row>
    <row r="35" spans="1:6" ht="31.95" customHeight="1" x14ac:dyDescent="0.25">
      <c r="B35" s="37"/>
      <c r="C35" s="117" t="str">
        <f>TEXT(CurrentYearEnd, "d mmmm yyyy")</f>
        <v>31 March 2019</v>
      </c>
      <c r="D35" s="117"/>
      <c r="E35" s="576" t="str">
        <f>TEXT(ComparativeYearEnd, "d mmmm yyyy")</f>
        <v>31 March 2018</v>
      </c>
    </row>
    <row r="36" spans="1:6" ht="15" customHeight="1" x14ac:dyDescent="0.25">
      <c r="C36" s="169" t="s">
        <v>283</v>
      </c>
      <c r="D36" s="169"/>
      <c r="E36" s="581" t="s">
        <v>283</v>
      </c>
      <c r="F36" s="26"/>
    </row>
    <row r="37" spans="1:6" ht="31.95" customHeight="1" x14ac:dyDescent="0.3">
      <c r="B37" s="343" t="str">
        <f>"Total future payments committed in respect of the PFI, LIFT or other service concession arrangements"</f>
        <v>Total future payments committed in respect of the PFI, LIFT or other service concession arrangements</v>
      </c>
      <c r="C37" s="796">
        <f>SUM(C39:C41)</f>
        <v>221189</v>
      </c>
      <c r="D37" s="43"/>
      <c r="E37" s="797">
        <f>SUM(E39:E41)</f>
        <v>228315</v>
      </c>
      <c r="F37" s="168"/>
    </row>
    <row r="38" spans="1:6" ht="21" customHeight="1" x14ac:dyDescent="0.25">
      <c r="B38" s="161" t="s">
        <v>544</v>
      </c>
      <c r="C38" s="168"/>
      <c r="D38" s="168"/>
      <c r="E38" s="578"/>
      <c r="F38" s="26"/>
    </row>
    <row r="39" spans="1:6" ht="14.1" customHeight="1" x14ac:dyDescent="0.2">
      <c r="B39" s="137" t="s">
        <v>316</v>
      </c>
      <c r="C39" s="62">
        <v>11617</v>
      </c>
      <c r="D39" s="62"/>
      <c r="E39" s="574">
        <v>11108</v>
      </c>
      <c r="F39" s="26"/>
    </row>
    <row r="40" spans="1:6" ht="14.1" customHeight="1" x14ac:dyDescent="0.2">
      <c r="B40" s="137" t="s">
        <v>317</v>
      </c>
      <c r="C40" s="62">
        <v>49578</v>
      </c>
      <c r="D40" s="62"/>
      <c r="E40" s="574">
        <v>47398</v>
      </c>
      <c r="F40" s="26"/>
    </row>
    <row r="41" spans="1:6" ht="14.1" customHeight="1" x14ac:dyDescent="0.2">
      <c r="B41" s="137" t="s">
        <v>318</v>
      </c>
      <c r="C41" s="62">
        <v>159994</v>
      </c>
      <c r="D41" s="62"/>
      <c r="E41" s="574">
        <v>169809</v>
      </c>
      <c r="F41" s="26"/>
    </row>
    <row r="42" spans="1:6" ht="14.1" customHeight="1" x14ac:dyDescent="0.25">
      <c r="B42" s="20"/>
      <c r="C42" s="34"/>
      <c r="D42" s="34"/>
      <c r="E42" s="579"/>
    </row>
    <row r="43" spans="1:6" ht="14.1" customHeight="1" x14ac:dyDescent="0.2">
      <c r="B43" s="22"/>
    </row>
  </sheetData>
  <customSheetViews>
    <customSheetView guid="{EDC1BD6E-863A-4FC6-A3A9-F32079F4F0C1}">
      <selection activeCell="N58" sqref="N58"/>
      <pageMargins left="0.25" right="0.25" top="0.75" bottom="0.75" header="0.3" footer="0.3"/>
      <pageSetup paperSize="9" orientation="landscape" verticalDpi="0" r:id="rId1"/>
    </customSheetView>
  </customSheetViews>
  <mergeCells count="6">
    <mergeCell ref="B34:E34"/>
    <mergeCell ref="B5:E5"/>
    <mergeCell ref="B8:E8"/>
    <mergeCell ref="B11:E11"/>
    <mergeCell ref="B14:E14"/>
    <mergeCell ref="B17:E18"/>
  </mergeCells>
  <pageMargins left="0.70866141732283472" right="0.70866141732283472" top="0.74803149606299213" bottom="0.74803149606299213" header="0.31496062992125984" footer="0.31496062992125984"/>
  <pageSetup paperSize="9" orientation="portrait" r:id="rId2"/>
  <headerFooter>
    <oddHeader>&amp;C&amp;10Hull University Teaching Hospitals NHS Trust - Annual Accounts 2018/19</oddHeader>
    <oddFooter>&amp;C&amp;10Page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B11"/>
  <sheetViews>
    <sheetView topLeftCell="A31" workbookViewId="0">
      <selection activeCell="B12" sqref="B12"/>
    </sheetView>
  </sheetViews>
  <sheetFormatPr defaultColWidth="9.109375" defaultRowHeight="13.2" x14ac:dyDescent="0.25"/>
  <cols>
    <col min="1" max="1" width="9.109375" style="5"/>
    <col min="2" max="2" width="71.6640625" style="5" bestFit="1" customWidth="1"/>
    <col min="3" max="16384" width="9.109375" style="5"/>
  </cols>
  <sheetData>
    <row r="7" spans="2:2" x14ac:dyDescent="0.25">
      <c r="B7" s="893" t="s">
        <v>1217</v>
      </c>
    </row>
    <row r="8" spans="2:2" x14ac:dyDescent="0.25">
      <c r="B8" s="893" t="s">
        <v>1218</v>
      </c>
    </row>
    <row r="9" spans="2:2" x14ac:dyDescent="0.25">
      <c r="B9" s="893" t="s">
        <v>1219</v>
      </c>
    </row>
    <row r="10" spans="2:2" x14ac:dyDescent="0.25">
      <c r="B10" s="893" t="s">
        <v>1220</v>
      </c>
    </row>
    <row r="11" spans="2:2" x14ac:dyDescent="0.25">
      <c r="B11" s="5" t="s">
        <v>1221</v>
      </c>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opLeftCell="A13" zoomScaleNormal="100" workbookViewId="0">
      <selection activeCell="B30" sqref="B30:F32"/>
    </sheetView>
  </sheetViews>
  <sheetFormatPr defaultColWidth="9.109375" defaultRowHeight="14.1" customHeight="1" x14ac:dyDescent="0.2"/>
  <cols>
    <col min="1" max="1" width="1.6640625" style="555" customWidth="1"/>
    <col min="2" max="2" width="62.33203125" style="545" customWidth="1"/>
    <col min="3" max="3" width="8.6640625" style="545" customWidth="1"/>
    <col min="4" max="4" width="2.6640625" style="545" customWidth="1"/>
    <col min="5" max="5" width="8.6640625" style="554" customWidth="1"/>
    <col min="6" max="16384" width="9.109375" style="545"/>
  </cols>
  <sheetData>
    <row r="1" spans="1:7" ht="14.1" customHeight="1" x14ac:dyDescent="0.25">
      <c r="A1" s="555">
        <f>'PFI LIFT Other'!A33+0.1</f>
        <v>29.300000000000004</v>
      </c>
      <c r="B1" s="546" t="str">
        <f>"Note "&amp; A1&amp; " Analysis of amounts payable to service concession operator"</f>
        <v>Note 29.3 Analysis of amounts payable to service concession operator</v>
      </c>
      <c r="C1" s="552"/>
      <c r="D1" s="552"/>
      <c r="E1" s="579"/>
    </row>
    <row r="2" spans="1:7" s="767" customFormat="1" ht="14.1" customHeight="1" x14ac:dyDescent="0.25">
      <c r="A2" s="722"/>
      <c r="B2" s="777"/>
      <c r="C2" s="654"/>
      <c r="D2" s="654"/>
      <c r="E2" s="665"/>
    </row>
    <row r="3" spans="1:7" ht="14.1" customHeight="1" x14ac:dyDescent="0.2">
      <c r="B3" s="566" t="str">
        <f>"This note provides an analysis of the unitary payments made to the service concession operator:"</f>
        <v>This note provides an analysis of the unitary payments made to the service concession operator:</v>
      </c>
    </row>
    <row r="4" spans="1:7" ht="14.1" customHeight="1" x14ac:dyDescent="0.2">
      <c r="B4" s="566"/>
    </row>
    <row r="5" spans="1:7" ht="13.95" customHeight="1" x14ac:dyDescent="0.25">
      <c r="B5" s="546"/>
      <c r="C5" s="562" t="str">
        <f>CurrentFY</f>
        <v>2018/19</v>
      </c>
      <c r="D5" s="562"/>
      <c r="E5" s="576" t="str">
        <f>ComparativeFY</f>
        <v>2017/18</v>
      </c>
    </row>
    <row r="6" spans="1:7" ht="14.1" customHeight="1" x14ac:dyDescent="0.25">
      <c r="B6" s="560"/>
      <c r="C6" s="567" t="s">
        <v>283</v>
      </c>
      <c r="D6" s="567"/>
      <c r="E6" s="581" t="s">
        <v>283</v>
      </c>
      <c r="F6" s="548"/>
      <c r="G6" s="548"/>
    </row>
    <row r="7" spans="1:7" s="729" customFormat="1" ht="14.1" customHeight="1" x14ac:dyDescent="0.25">
      <c r="A7" s="722"/>
      <c r="B7" s="560"/>
      <c r="C7" s="741"/>
      <c r="D7" s="741"/>
      <c r="E7" s="742"/>
      <c r="F7" s="676"/>
      <c r="G7" s="676"/>
    </row>
    <row r="8" spans="1:7" ht="14.1" customHeight="1" x14ac:dyDescent="0.3">
      <c r="B8" s="546" t="s">
        <v>545</v>
      </c>
      <c r="C8" s="796">
        <f>SUM(C10:C14)</f>
        <v>11094</v>
      </c>
      <c r="D8" s="43"/>
      <c r="E8" s="797">
        <f>SUM(E10:E14)</f>
        <v>10553</v>
      </c>
      <c r="F8" s="548"/>
      <c r="G8" s="548"/>
    </row>
    <row r="9" spans="1:7" ht="14.1" customHeight="1" x14ac:dyDescent="0.25">
      <c r="B9" s="560" t="s">
        <v>546</v>
      </c>
      <c r="C9" s="569"/>
      <c r="D9" s="569"/>
      <c r="E9" s="582"/>
      <c r="F9" s="548"/>
      <c r="G9" s="548"/>
    </row>
    <row r="10" spans="1:7" ht="14.1" customHeight="1" x14ac:dyDescent="0.2">
      <c r="B10" s="570" t="s">
        <v>547</v>
      </c>
      <c r="C10" s="557">
        <v>3635</v>
      </c>
      <c r="D10" s="557"/>
      <c r="E10" s="574">
        <v>3758</v>
      </c>
      <c r="F10" s="548"/>
      <c r="G10" s="548"/>
    </row>
    <row r="11" spans="1:7" ht="14.1" customHeight="1" x14ac:dyDescent="0.2">
      <c r="B11" s="570" t="s">
        <v>548</v>
      </c>
      <c r="C11" s="557">
        <v>1778</v>
      </c>
      <c r="D11" s="557"/>
      <c r="E11" s="574">
        <v>1630</v>
      </c>
      <c r="F11" s="548"/>
      <c r="G11" s="548"/>
    </row>
    <row r="12" spans="1:7" ht="14.1" customHeight="1" x14ac:dyDescent="0.2">
      <c r="B12" s="570" t="s">
        <v>564</v>
      </c>
      <c r="C12" s="557">
        <v>2084</v>
      </c>
      <c r="D12" s="557"/>
      <c r="E12" s="574">
        <v>2080</v>
      </c>
      <c r="F12" s="548"/>
      <c r="G12" s="548"/>
    </row>
    <row r="13" spans="1:7" ht="14.1" customHeight="1" x14ac:dyDescent="0.2">
      <c r="B13" s="570" t="s">
        <v>549</v>
      </c>
      <c r="C13" s="557">
        <v>1483</v>
      </c>
      <c r="D13" s="557"/>
      <c r="E13" s="574">
        <v>1347</v>
      </c>
      <c r="F13" s="548"/>
      <c r="G13" s="548"/>
    </row>
    <row r="14" spans="1:7" ht="14.1" customHeight="1" x14ac:dyDescent="0.2">
      <c r="B14" s="570" t="s">
        <v>550</v>
      </c>
      <c r="C14" s="557">
        <v>2114</v>
      </c>
      <c r="D14" s="557"/>
      <c r="E14" s="574">
        <v>1738</v>
      </c>
      <c r="F14" s="548"/>
      <c r="G14" s="548"/>
    </row>
    <row r="15" spans="1:7" ht="14.1" customHeight="1" x14ac:dyDescent="0.25">
      <c r="B15" s="570"/>
      <c r="C15" s="569"/>
      <c r="D15" s="569"/>
      <c r="E15" s="582"/>
      <c r="F15" s="548"/>
      <c r="G15" s="548"/>
    </row>
    <row r="16" spans="1:7" ht="14.1" customHeight="1" thickBot="1" x14ac:dyDescent="0.35">
      <c r="B16" s="571" t="s">
        <v>551</v>
      </c>
      <c r="C16" s="568">
        <f>SUM(C10:C14)</f>
        <v>11094</v>
      </c>
      <c r="D16" s="556"/>
      <c r="E16" s="629">
        <f>SUM(E10:E14)</f>
        <v>10553</v>
      </c>
      <c r="F16" s="548"/>
      <c r="G16" s="548"/>
    </row>
    <row r="17" spans="1:11" s="729" customFormat="1" ht="14.1" customHeight="1" thickTop="1" x14ac:dyDescent="0.3">
      <c r="A17" s="722"/>
      <c r="B17" s="571"/>
      <c r="C17" s="296"/>
      <c r="D17" s="556"/>
      <c r="E17" s="757"/>
      <c r="F17" s="676"/>
      <c r="G17" s="676"/>
    </row>
    <row r="18" spans="1:11" s="767" customFormat="1" ht="14.1" customHeight="1" x14ac:dyDescent="0.3">
      <c r="A18" s="722"/>
      <c r="B18" s="571"/>
      <c r="C18" s="747"/>
      <c r="D18" s="556"/>
      <c r="E18" s="751"/>
      <c r="F18" s="676"/>
      <c r="G18" s="676"/>
    </row>
    <row r="19" spans="1:11" ht="14.1" customHeight="1" x14ac:dyDescent="0.25">
      <c r="B19" s="560"/>
      <c r="C19" s="569"/>
      <c r="D19" s="569"/>
      <c r="E19" s="582"/>
      <c r="F19" s="548"/>
      <c r="G19" s="548"/>
    </row>
    <row r="20" spans="1:11" ht="14.1" customHeight="1" x14ac:dyDescent="0.25">
      <c r="A20" s="555">
        <f>'PFI LIFT Other'!A1+1</f>
        <v>30</v>
      </c>
      <c r="B20" s="565" t="str">
        <f>"Note "&amp; A20&amp;" Off-SoFP PFI arrangements"</f>
        <v>Note 30 Off-SoFP PFI arrangements</v>
      </c>
      <c r="C20" s="548"/>
      <c r="D20" s="548"/>
      <c r="E20" s="577"/>
      <c r="F20" s="548"/>
      <c r="G20" s="548"/>
    </row>
    <row r="21" spans="1:11" ht="14.1" customHeight="1" x14ac:dyDescent="0.2">
      <c r="B21" s="930" t="s">
        <v>1049</v>
      </c>
      <c r="C21" s="930"/>
      <c r="D21" s="930"/>
      <c r="E21" s="930"/>
    </row>
    <row r="22" spans="1:11" ht="14.1" customHeight="1" x14ac:dyDescent="0.2">
      <c r="B22" s="930"/>
      <c r="C22" s="930"/>
      <c r="D22" s="930"/>
      <c r="E22" s="930"/>
    </row>
    <row r="23" spans="1:11" ht="14.1" customHeight="1" x14ac:dyDescent="0.2">
      <c r="B23" s="950"/>
      <c r="C23" s="950"/>
      <c r="D23" s="950"/>
      <c r="E23" s="950"/>
    </row>
    <row r="24" spans="1:11" ht="30.75" customHeight="1" x14ac:dyDescent="0.25">
      <c r="B24" s="553"/>
      <c r="C24" s="562" t="str">
        <f>TEXT(CurrentYearEnd, "d mmmm yyyy")</f>
        <v>31 March 2019</v>
      </c>
      <c r="D24" s="562"/>
      <c r="E24" s="576" t="str">
        <f>TEXT(ComparativeYearEnd, "d mmmm yyyy")</f>
        <v>31 March 2018</v>
      </c>
      <c r="F24" s="124"/>
      <c r="H24" s="947"/>
      <c r="I24" s="947"/>
      <c r="J24" s="947"/>
      <c r="K24" s="947"/>
    </row>
    <row r="25" spans="1:11" ht="14.1" customHeight="1" x14ac:dyDescent="0.25">
      <c r="C25" s="562" t="s">
        <v>283</v>
      </c>
      <c r="D25" s="562"/>
      <c r="E25" s="576" t="s">
        <v>283</v>
      </c>
      <c r="F25" s="124"/>
    </row>
    <row r="26" spans="1:11" ht="28.2" customHeight="1" x14ac:dyDescent="0.25">
      <c r="B26" s="546" t="str">
        <f>"Charge in respect of the off SoFP PFI  arrangements for the period"</f>
        <v>Charge in respect of the off SoFP PFI  arrangements for the period</v>
      </c>
      <c r="C26" s="561">
        <v>81</v>
      </c>
      <c r="D26" s="557"/>
      <c r="E26" s="572">
        <v>81</v>
      </c>
    </row>
    <row r="27" spans="1:11" ht="11.4" x14ac:dyDescent="0.2">
      <c r="C27" s="557"/>
      <c r="D27" s="557"/>
      <c r="E27" s="574"/>
    </row>
    <row r="28" spans="1:11" ht="25.5" customHeight="1" x14ac:dyDescent="0.25">
      <c r="B28" s="546" t="s">
        <v>1197</v>
      </c>
      <c r="C28" s="557"/>
      <c r="D28" s="557"/>
      <c r="E28" s="574"/>
    </row>
    <row r="29" spans="1:11" ht="14.1" customHeight="1" x14ac:dyDescent="0.2">
      <c r="B29" s="564" t="s">
        <v>316</v>
      </c>
      <c r="C29" s="557">
        <v>81</v>
      </c>
      <c r="D29" s="557"/>
      <c r="E29" s="574">
        <v>81</v>
      </c>
    </row>
    <row r="30" spans="1:11" ht="14.1" customHeight="1" x14ac:dyDescent="0.2">
      <c r="B30" s="564" t="s">
        <v>317</v>
      </c>
      <c r="C30" s="557">
        <v>324</v>
      </c>
      <c r="D30" s="557"/>
      <c r="E30" s="574">
        <v>324</v>
      </c>
    </row>
    <row r="31" spans="1:11" ht="14.1" customHeight="1" x14ac:dyDescent="0.2">
      <c r="B31" s="564" t="s">
        <v>318</v>
      </c>
      <c r="C31" s="557">
        <v>1620</v>
      </c>
      <c r="D31" s="557"/>
      <c r="E31" s="574">
        <v>1701</v>
      </c>
    </row>
    <row r="32" spans="1:11" ht="14.1" customHeight="1" thickBot="1" x14ac:dyDescent="0.35">
      <c r="B32" s="563" t="s">
        <v>282</v>
      </c>
      <c r="C32" s="558">
        <f>SUM(C29:C31)</f>
        <v>2025</v>
      </c>
      <c r="D32" s="544"/>
      <c r="E32" s="575">
        <f>SUM(E29:E31)</f>
        <v>2106</v>
      </c>
    </row>
    <row r="33" spans="2:5" ht="14.1" customHeight="1" thickTop="1" x14ac:dyDescent="0.25">
      <c r="B33" s="546"/>
      <c r="C33" s="551"/>
      <c r="D33" s="551"/>
      <c r="E33" s="550"/>
    </row>
    <row r="34" spans="2:5" ht="14.1" customHeight="1" x14ac:dyDescent="0.2">
      <c r="B34" s="547"/>
    </row>
  </sheetData>
  <mergeCells count="3">
    <mergeCell ref="B21:E22"/>
    <mergeCell ref="B23:E23"/>
    <mergeCell ref="H24:K24"/>
  </mergeCells>
  <pageMargins left="0.70866141732283472" right="0.70866141732283472" top="0.74803149606299213" bottom="0.74803149606299213" header="0.31496062992125984" footer="0.31496062992125984"/>
  <pageSetup paperSize="9" orientation="portrait" r:id="rId1"/>
  <headerFooter>
    <oddHeader>&amp;C&amp;10Hull University Teaching Hospitals NHS Trust - Annual Accounts 2018/19</oddHeader>
    <oddFooter>&amp;C&amp;10Page &amp;P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M32"/>
  <sheetViews>
    <sheetView workbookViewId="0">
      <selection activeCell="B30" sqref="B30:F32"/>
    </sheetView>
  </sheetViews>
  <sheetFormatPr defaultColWidth="9.109375" defaultRowHeight="11.4" x14ac:dyDescent="0.2"/>
  <cols>
    <col min="1" max="1" width="1.33203125" style="52" customWidth="1"/>
    <col min="2" max="2" width="38" style="25" customWidth="1"/>
    <col min="3" max="3" width="10.109375" style="25" customWidth="1"/>
    <col min="4" max="4" width="1.109375" style="25" customWidth="1"/>
    <col min="5" max="5" width="8.109375" style="25" customWidth="1"/>
    <col min="6" max="6" width="0.88671875" style="25" customWidth="1"/>
    <col min="7" max="7" width="8.33203125" style="25" customWidth="1"/>
    <col min="8" max="8" width="0.88671875" style="25" customWidth="1"/>
    <col min="9" max="9" width="9.33203125" style="25" customWidth="1"/>
    <col min="10" max="10" width="0.88671875" style="25" customWidth="1"/>
    <col min="11" max="11" width="8.33203125" style="25" customWidth="1"/>
    <col min="12" max="16384" width="9.109375" style="25"/>
  </cols>
  <sheetData>
    <row r="1" spans="1:11" ht="14.1" customHeight="1" x14ac:dyDescent="0.25">
      <c r="A1" s="52">
        <f>'PFI LIFT Other (2)'!A20+1</f>
        <v>31</v>
      </c>
      <c r="B1" s="119" t="str">
        <f>"Note "&amp;A1&amp; " Financial instruments"</f>
        <v>Note 31 Financial instruments</v>
      </c>
    </row>
    <row r="2" spans="1:11" ht="14.1" customHeight="1" x14ac:dyDescent="0.25">
      <c r="B2" s="119"/>
    </row>
    <row r="3" spans="1:11" ht="14.1" customHeight="1" x14ac:dyDescent="0.25">
      <c r="A3" s="52">
        <f>A1+0.1</f>
        <v>31.1</v>
      </c>
      <c r="B3" s="119" t="str">
        <f>"Note "&amp;A3&amp; " Financial risk management"</f>
        <v>Note 31.1 Financial risk management</v>
      </c>
    </row>
    <row r="4" spans="1:11" ht="14.1" customHeight="1" x14ac:dyDescent="0.25">
      <c r="B4" s="68"/>
    </row>
    <row r="5" spans="1:11" ht="14.1" customHeight="1" x14ac:dyDescent="0.2">
      <c r="B5" s="957" t="s">
        <v>1050</v>
      </c>
      <c r="C5" s="957"/>
      <c r="D5" s="957"/>
      <c r="E5" s="957"/>
      <c r="F5" s="957"/>
      <c r="G5" s="957"/>
      <c r="H5" s="957"/>
      <c r="I5" s="957"/>
      <c r="J5" s="957"/>
      <c r="K5" s="957"/>
    </row>
    <row r="6" spans="1:11" ht="14.1" customHeight="1" x14ac:dyDescent="0.2">
      <c r="B6" s="957"/>
      <c r="C6" s="957"/>
      <c r="D6" s="957"/>
      <c r="E6" s="957"/>
      <c r="F6" s="957"/>
      <c r="G6" s="957"/>
      <c r="H6" s="957"/>
      <c r="I6" s="957"/>
      <c r="J6" s="957"/>
      <c r="K6" s="957"/>
    </row>
    <row r="7" spans="1:11" ht="14.1" customHeight="1" x14ac:dyDescent="0.2">
      <c r="B7" s="957"/>
      <c r="C7" s="957"/>
      <c r="D7" s="957"/>
      <c r="E7" s="957"/>
      <c r="F7" s="957"/>
      <c r="G7" s="957"/>
      <c r="H7" s="957"/>
      <c r="I7" s="957"/>
      <c r="J7" s="957"/>
      <c r="K7" s="957"/>
    </row>
    <row r="8" spans="1:11" ht="14.1" customHeight="1" x14ac:dyDescent="0.2">
      <c r="B8" s="957"/>
      <c r="C8" s="957"/>
      <c r="D8" s="957"/>
      <c r="E8" s="957"/>
      <c r="F8" s="957"/>
      <c r="G8" s="957"/>
      <c r="H8" s="957"/>
      <c r="I8" s="957"/>
      <c r="J8" s="957"/>
      <c r="K8" s="957"/>
    </row>
    <row r="9" spans="1:11" ht="14.1" customHeight="1" x14ac:dyDescent="0.2">
      <c r="B9" s="957"/>
      <c r="C9" s="957"/>
      <c r="D9" s="957"/>
      <c r="E9" s="957"/>
      <c r="F9" s="957"/>
      <c r="G9" s="957"/>
      <c r="H9" s="957"/>
      <c r="I9" s="957"/>
      <c r="J9" s="957"/>
      <c r="K9" s="957"/>
    </row>
    <row r="10" spans="1:11" ht="14.1" customHeight="1" x14ac:dyDescent="0.2">
      <c r="B10" s="957"/>
      <c r="C10" s="957"/>
      <c r="D10" s="957"/>
      <c r="E10" s="957"/>
      <c r="F10" s="957"/>
      <c r="G10" s="957"/>
      <c r="H10" s="957"/>
      <c r="I10" s="957"/>
      <c r="J10" s="957"/>
      <c r="K10" s="957"/>
    </row>
    <row r="11" spans="1:11" ht="14.1" customHeight="1" x14ac:dyDescent="0.2">
      <c r="B11" s="957"/>
      <c r="C11" s="957"/>
      <c r="D11" s="957"/>
      <c r="E11" s="957"/>
      <c r="F11" s="957"/>
      <c r="G11" s="957"/>
      <c r="H11" s="957"/>
      <c r="I11" s="957"/>
      <c r="J11" s="957"/>
      <c r="K11" s="957"/>
    </row>
    <row r="12" spans="1:11" s="188" customFormat="1" ht="14.1" customHeight="1" x14ac:dyDescent="0.2">
      <c r="A12" s="52"/>
      <c r="B12" s="191"/>
      <c r="C12" s="191"/>
      <c r="D12" s="191"/>
      <c r="E12" s="191"/>
      <c r="F12" s="191"/>
      <c r="G12" s="191"/>
      <c r="H12" s="191"/>
      <c r="I12" s="191"/>
      <c r="J12" s="191"/>
      <c r="K12" s="191"/>
    </row>
    <row r="13" spans="1:11" ht="10.199999999999999" customHeight="1" x14ac:dyDescent="0.2">
      <c r="B13" s="956" t="s">
        <v>1051</v>
      </c>
      <c r="C13" s="956"/>
      <c r="D13" s="956"/>
      <c r="E13" s="956"/>
      <c r="F13" s="956"/>
      <c r="G13" s="956"/>
      <c r="H13" s="956"/>
      <c r="I13" s="956"/>
      <c r="J13" s="956"/>
      <c r="K13" s="956"/>
    </row>
    <row r="14" spans="1:11" ht="11.4" customHeight="1" x14ac:dyDescent="0.2">
      <c r="B14" s="956"/>
      <c r="C14" s="956"/>
      <c r="D14" s="956"/>
      <c r="E14" s="956"/>
      <c r="F14" s="956"/>
      <c r="G14" s="956"/>
      <c r="H14" s="956"/>
      <c r="I14" s="956"/>
      <c r="J14" s="956"/>
      <c r="K14" s="956"/>
    </row>
    <row r="15" spans="1:11" ht="14.1" customHeight="1" x14ac:dyDescent="0.2">
      <c r="B15" s="956"/>
      <c r="C15" s="956"/>
      <c r="D15" s="956"/>
      <c r="E15" s="956"/>
      <c r="F15" s="956"/>
      <c r="G15" s="956"/>
      <c r="H15" s="956"/>
      <c r="I15" s="956"/>
      <c r="J15" s="956"/>
      <c r="K15" s="956"/>
    </row>
    <row r="16" spans="1:11" ht="4.95" customHeight="1" x14ac:dyDescent="0.2">
      <c r="B16" s="956"/>
      <c r="C16" s="956"/>
      <c r="D16" s="956"/>
      <c r="E16" s="956"/>
      <c r="F16" s="956"/>
      <c r="G16" s="956"/>
      <c r="H16" s="956"/>
      <c r="I16" s="956"/>
      <c r="J16" s="956"/>
      <c r="K16" s="956"/>
    </row>
    <row r="17" spans="1:13" s="588" customFormat="1" ht="11.4" customHeight="1" x14ac:dyDescent="0.2">
      <c r="A17" s="589"/>
      <c r="B17" s="526"/>
      <c r="C17" s="526"/>
      <c r="D17" s="526"/>
      <c r="E17" s="526"/>
      <c r="F17" s="526"/>
      <c r="G17" s="526"/>
      <c r="H17" s="526"/>
      <c r="I17" s="526"/>
      <c r="J17" s="526"/>
      <c r="K17" s="526"/>
    </row>
    <row r="18" spans="1:13" ht="13.2" x14ac:dyDescent="0.25">
      <c r="B18" s="593" t="s">
        <v>1052</v>
      </c>
      <c r="C18" s="591"/>
      <c r="D18" s="592"/>
      <c r="E18" s="592"/>
      <c r="F18" s="592"/>
      <c r="G18" s="592"/>
      <c r="H18" s="592"/>
      <c r="I18" s="592"/>
      <c r="J18" s="592"/>
      <c r="K18" s="592"/>
      <c r="L18" s="592"/>
    </row>
    <row r="19" spans="1:13" ht="36.6" customHeight="1" x14ac:dyDescent="0.2">
      <c r="B19" s="955" t="s">
        <v>1053</v>
      </c>
      <c r="C19" s="955"/>
      <c r="D19" s="955"/>
      <c r="E19" s="955"/>
      <c r="F19" s="955"/>
      <c r="G19" s="955"/>
      <c r="H19" s="955"/>
      <c r="I19" s="955"/>
      <c r="J19" s="955"/>
      <c r="K19" s="955"/>
      <c r="L19" s="590"/>
    </row>
    <row r="21" spans="1:13" ht="13.2" x14ac:dyDescent="0.25">
      <c r="B21" s="594" t="s">
        <v>1054</v>
      </c>
    </row>
    <row r="22" spans="1:13" ht="37.200000000000003" customHeight="1" x14ac:dyDescent="0.2">
      <c r="B22" s="930" t="s">
        <v>1055</v>
      </c>
      <c r="C22" s="930"/>
      <c r="D22" s="930"/>
      <c r="E22" s="930"/>
      <c r="F22" s="930"/>
      <c r="G22" s="930"/>
      <c r="H22" s="930"/>
      <c r="I22" s="930"/>
      <c r="J22" s="930"/>
      <c r="K22" s="930"/>
    </row>
    <row r="24" spans="1:13" ht="27.6" customHeight="1" x14ac:dyDescent="0.2">
      <c r="B24" s="930" t="s">
        <v>1056</v>
      </c>
      <c r="C24" s="930"/>
      <c r="D24" s="930"/>
      <c r="E24" s="930"/>
      <c r="F24" s="930"/>
      <c r="G24" s="930"/>
      <c r="H24" s="930"/>
      <c r="I24" s="930"/>
      <c r="J24" s="930"/>
      <c r="K24" s="930"/>
    </row>
    <row r="26" spans="1:13" ht="11.4" customHeight="1" x14ac:dyDescent="0.2">
      <c r="B26" s="930" t="s">
        <v>1057</v>
      </c>
      <c r="C26" s="930"/>
      <c r="D26" s="930"/>
      <c r="E26" s="930"/>
      <c r="F26" s="930"/>
      <c r="G26" s="930"/>
      <c r="H26" s="930"/>
      <c r="I26" s="930"/>
      <c r="J26" s="930"/>
      <c r="K26" s="930"/>
    </row>
    <row r="28" spans="1:13" ht="13.2" x14ac:dyDescent="0.25">
      <c r="B28" s="595" t="s">
        <v>1058</v>
      </c>
    </row>
    <row r="29" spans="1:13" ht="36.6" customHeight="1" x14ac:dyDescent="0.2">
      <c r="B29" s="930" t="s">
        <v>1059</v>
      </c>
      <c r="C29" s="930"/>
      <c r="D29" s="930"/>
      <c r="E29" s="930"/>
      <c r="F29" s="930"/>
      <c r="G29" s="930"/>
      <c r="H29" s="930"/>
      <c r="I29" s="930"/>
      <c r="J29" s="930"/>
      <c r="K29" s="930"/>
    </row>
    <row r="31" spans="1:13" ht="13.2" x14ac:dyDescent="0.25">
      <c r="B31" s="630" t="s">
        <v>1060</v>
      </c>
    </row>
    <row r="32" spans="1:13" ht="34.950000000000003" customHeight="1" x14ac:dyDescent="0.2">
      <c r="B32" s="918" t="s">
        <v>1166</v>
      </c>
      <c r="C32" s="918"/>
      <c r="D32" s="918"/>
      <c r="E32" s="918"/>
      <c r="F32" s="918"/>
      <c r="G32" s="918"/>
      <c r="H32" s="918"/>
      <c r="I32" s="918"/>
      <c r="J32" s="918"/>
      <c r="K32" s="918"/>
      <c r="L32" s="676"/>
      <c r="M32" s="350"/>
    </row>
  </sheetData>
  <mergeCells count="8">
    <mergeCell ref="B26:K26"/>
    <mergeCell ref="B29:K29"/>
    <mergeCell ref="B32:K32"/>
    <mergeCell ref="B13:K16"/>
    <mergeCell ref="B5:K11"/>
    <mergeCell ref="B19:K19"/>
    <mergeCell ref="B22:K22"/>
    <mergeCell ref="B24:K24"/>
  </mergeCells>
  <pageMargins left="0.70866141732283472" right="0.70866141732283472" top="0.74803149606299213" bottom="0.74803149606299213" header="0.31496062992125984" footer="0.31496062992125984"/>
  <pageSetup paperSize="9" orientation="portrait" r:id="rId1"/>
  <headerFooter>
    <oddHeader>&amp;C&amp;10Hull University Teaching Hospitals NHS Trust - Annual Accounts 2018/19</oddHeader>
    <oddFooter>&amp;C&amp;10Page &amp;P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J30"/>
  <sheetViews>
    <sheetView zoomScaleNormal="100" workbookViewId="0">
      <selection activeCell="B30" sqref="B30:F32"/>
    </sheetView>
  </sheetViews>
  <sheetFormatPr defaultColWidth="9.109375" defaultRowHeight="14.1" customHeight="1" x14ac:dyDescent="0.2"/>
  <cols>
    <col min="1" max="1" width="0.6640625" style="52" customWidth="1"/>
    <col min="2" max="2" width="36.5546875" style="25" customWidth="1"/>
    <col min="3" max="3" width="9.88671875" style="25" customWidth="1"/>
    <col min="4" max="4" width="1.109375" style="25" customWidth="1"/>
    <col min="5" max="5" width="0.88671875" style="25" customWidth="1"/>
    <col min="6" max="6" width="8.6640625" style="25" customWidth="1"/>
    <col min="7" max="7" width="2.6640625" style="25" customWidth="1"/>
    <col min="8" max="8" width="8.33203125" style="25" customWidth="1"/>
    <col min="9" max="16384" width="9.109375" style="25"/>
  </cols>
  <sheetData>
    <row r="1" spans="1:10" ht="14.1" customHeight="1" x14ac:dyDescent="0.25">
      <c r="A1" s="52">
        <f>'FI1'!A3+0.1</f>
        <v>31.200000000000003</v>
      </c>
      <c r="B1" s="193" t="str">
        <f>"Note "&amp;A1&amp;" Carrying values of financial assets"</f>
        <v>Note 31.2 Carrying values of financial assets</v>
      </c>
    </row>
    <row r="2" spans="1:10" s="767" customFormat="1" ht="14.1" customHeight="1" x14ac:dyDescent="0.25">
      <c r="A2" s="722"/>
      <c r="B2" s="781"/>
    </row>
    <row r="3" spans="1:10" s="316" customFormat="1" ht="38.1" customHeight="1" x14ac:dyDescent="0.2">
      <c r="A3" s="257"/>
      <c r="B3" s="954" t="s">
        <v>923</v>
      </c>
      <c r="C3" s="954"/>
      <c r="D3" s="954"/>
      <c r="E3" s="954"/>
      <c r="F3" s="954"/>
      <c r="G3" s="954"/>
      <c r="H3" s="954"/>
      <c r="I3" s="612"/>
    </row>
    <row r="4" spans="1:10" s="729" customFormat="1" ht="13.2" customHeight="1" x14ac:dyDescent="0.2">
      <c r="A4" s="722"/>
      <c r="B4" s="737"/>
      <c r="C4" s="737"/>
      <c r="D4" s="737"/>
      <c r="E4" s="737"/>
      <c r="F4" s="737"/>
      <c r="G4" s="737"/>
      <c r="H4" s="737"/>
      <c r="I4" s="612"/>
    </row>
    <row r="5" spans="1:10" ht="50.25" customHeight="1" x14ac:dyDescent="0.25">
      <c r="B5" s="119"/>
      <c r="C5" s="258"/>
      <c r="D5" s="852"/>
      <c r="E5" s="958"/>
      <c r="F5" s="958"/>
      <c r="G5" s="960" t="s">
        <v>611</v>
      </c>
      <c r="H5" s="960"/>
      <c r="J5" s="219"/>
    </row>
    <row r="6" spans="1:10" s="767" customFormat="1" ht="14.4" customHeight="1" x14ac:dyDescent="0.25">
      <c r="A6" s="722"/>
      <c r="B6" s="777"/>
      <c r="C6" s="670"/>
      <c r="D6" s="852"/>
      <c r="E6" s="852"/>
      <c r="F6" s="852"/>
      <c r="G6" s="778"/>
      <c r="H6" s="778"/>
    </row>
    <row r="7" spans="1:10" ht="14.1" customHeight="1" x14ac:dyDescent="0.25">
      <c r="B7" s="959" t="str">
        <f>"Carrying values of financial assets as at "&amp;TEXT(CurrentYearEnd,"d mmmm yyyy")&amp;" under IFRS 9"</f>
        <v>Carrying values of financial assets as at 31 March 2019 under IFRS 9</v>
      </c>
      <c r="C7" s="258"/>
      <c r="D7" s="852"/>
      <c r="E7" s="852"/>
      <c r="F7" s="852"/>
      <c r="G7" s="117"/>
      <c r="H7" s="117" t="s">
        <v>283</v>
      </c>
      <c r="J7" s="219"/>
    </row>
    <row r="8" spans="1:10" ht="12" x14ac:dyDescent="0.25">
      <c r="B8" s="959"/>
      <c r="C8" s="258"/>
      <c r="D8" s="855"/>
      <c r="E8" s="856"/>
      <c r="F8" s="855"/>
      <c r="G8" s="238"/>
      <c r="H8" s="238"/>
      <c r="I8" s="20"/>
      <c r="J8" s="219"/>
    </row>
    <row r="9" spans="1:10" ht="24.75" customHeight="1" x14ac:dyDescent="0.25">
      <c r="A9" s="25"/>
      <c r="B9" s="229" t="s">
        <v>430</v>
      </c>
      <c r="C9" s="258"/>
      <c r="D9" s="685"/>
      <c r="E9" s="685"/>
      <c r="F9" s="685"/>
      <c r="G9" s="62"/>
      <c r="H9" s="243">
        <f>44713+1965</f>
        <v>46678</v>
      </c>
    </row>
    <row r="10" spans="1:10" s="262" customFormat="1" ht="13.95" customHeight="1" x14ac:dyDescent="0.25">
      <c r="B10" s="264" t="s">
        <v>431</v>
      </c>
      <c r="C10" s="258"/>
      <c r="D10" s="685"/>
      <c r="E10" s="685"/>
      <c r="F10" s="685"/>
      <c r="G10" s="258"/>
      <c r="H10" s="246">
        <v>5611</v>
      </c>
    </row>
    <row r="11" spans="1:10" ht="14.1" customHeight="1" thickBot="1" x14ac:dyDescent="0.3">
      <c r="A11" s="25"/>
      <c r="B11" s="123" t="str">
        <f>"Total at " &amp; TEXT(CurrentYearEnd, "d mmmm yyyy")</f>
        <v>Total at 31 March 2019</v>
      </c>
      <c r="C11" s="258"/>
      <c r="D11" s="685"/>
      <c r="E11" s="685"/>
      <c r="F11" s="684"/>
      <c r="H11" s="241">
        <f>SUM(H8:H10)</f>
        <v>52289</v>
      </c>
    </row>
    <row r="12" spans="1:10" ht="14.1" customHeight="1" thickTop="1" x14ac:dyDescent="0.25">
      <c r="A12" s="25"/>
      <c r="B12" s="20"/>
      <c r="C12" s="258"/>
      <c r="D12" s="240"/>
      <c r="E12" s="240"/>
      <c r="F12" s="20"/>
      <c r="G12" s="20"/>
      <c r="H12" s="20"/>
    </row>
    <row r="13" spans="1:10" s="305" customFormat="1" ht="14.4" customHeight="1" x14ac:dyDescent="0.2">
      <c r="B13" s="962"/>
      <c r="C13" s="962"/>
      <c r="D13" s="962"/>
      <c r="E13" s="962"/>
      <c r="F13" s="962"/>
      <c r="G13" s="962"/>
      <c r="H13" s="962"/>
      <c r="I13" s="617"/>
    </row>
    <row r="14" spans="1:10" s="305" customFormat="1" ht="14.1" customHeight="1" x14ac:dyDescent="0.25">
      <c r="B14" s="306"/>
      <c r="C14" s="258"/>
      <c r="D14" s="258"/>
      <c r="E14" s="258"/>
      <c r="F14" s="306"/>
      <c r="G14" s="306"/>
      <c r="H14" s="306"/>
    </row>
    <row r="15" spans="1:10" ht="49.95" customHeight="1" x14ac:dyDescent="0.25">
      <c r="A15" s="25"/>
      <c r="B15" s="119"/>
      <c r="C15" s="852"/>
      <c r="D15" s="852"/>
      <c r="E15" s="958"/>
      <c r="F15" s="958"/>
      <c r="G15" s="960" t="s">
        <v>611</v>
      </c>
      <c r="H15" s="960"/>
    </row>
    <row r="16" spans="1:10" s="767" customFormat="1" ht="16.2" customHeight="1" x14ac:dyDescent="0.25">
      <c r="B16" s="777"/>
      <c r="C16" s="852"/>
      <c r="D16" s="852"/>
      <c r="E16" s="852"/>
      <c r="F16" s="852"/>
      <c r="G16" s="778"/>
      <c r="H16" s="778"/>
    </row>
    <row r="17" spans="1:9" ht="14.1" customHeight="1" x14ac:dyDescent="0.25">
      <c r="A17" s="25"/>
      <c r="B17" s="959" t="str">
        <f>"Carrying values of financial assets as at "&amp;TEXT(ComparativeYearEnd,"d mmmm yyyy")&amp;" under IAS 39"</f>
        <v>Carrying values of financial assets as at 31 March 2018 under IAS 39</v>
      </c>
      <c r="C17" s="852"/>
      <c r="D17" s="852"/>
      <c r="E17" s="852"/>
      <c r="F17" s="852"/>
      <c r="G17" s="117"/>
      <c r="H17" s="117" t="s">
        <v>283</v>
      </c>
    </row>
    <row r="18" spans="1:9" ht="14.1" customHeight="1" x14ac:dyDescent="0.25">
      <c r="A18" s="25"/>
      <c r="B18" s="959"/>
      <c r="C18" s="685"/>
      <c r="D18" s="685"/>
      <c r="E18" s="685"/>
      <c r="F18" s="685"/>
      <c r="G18" s="239"/>
      <c r="H18" s="239"/>
      <c r="I18" s="20"/>
    </row>
    <row r="19" spans="1:9" ht="25.35" customHeight="1" x14ac:dyDescent="0.25">
      <c r="A19" s="25"/>
      <c r="B19" s="307" t="s">
        <v>430</v>
      </c>
      <c r="C19" s="685"/>
      <c r="D19" s="685"/>
      <c r="E19" s="685"/>
      <c r="F19" s="685"/>
      <c r="G19" s="243"/>
      <c r="H19" s="243">
        <v>28664</v>
      </c>
      <c r="I19" s="171"/>
    </row>
    <row r="20" spans="1:9" s="262" customFormat="1" ht="13.95" customHeight="1" x14ac:dyDescent="0.25">
      <c r="B20" s="264" t="s">
        <v>431</v>
      </c>
      <c r="C20" s="685"/>
      <c r="D20" s="685"/>
      <c r="E20" s="685"/>
      <c r="F20" s="685"/>
      <c r="G20" s="246"/>
      <c r="H20" s="246">
        <v>1699</v>
      </c>
    </row>
    <row r="21" spans="1:9" ht="14.1" customHeight="1" thickBot="1" x14ac:dyDescent="0.3">
      <c r="A21" s="25"/>
      <c r="B21" s="123" t="str">
        <f>"Total at " &amp; TEXT(ComparativeYearEnd, "d mmmm yyyy")</f>
        <v>Total at 31 March 2018</v>
      </c>
      <c r="C21" s="684"/>
      <c r="D21" s="685"/>
      <c r="E21" s="685"/>
      <c r="F21" s="684"/>
      <c r="H21" s="241">
        <f>SUM(H18:H20)</f>
        <v>30363</v>
      </c>
      <c r="I21" s="188"/>
    </row>
    <row r="22" spans="1:9" ht="14.1" customHeight="1" thickTop="1" x14ac:dyDescent="0.25">
      <c r="A22" s="25"/>
      <c r="B22" s="20"/>
      <c r="C22" s="745"/>
      <c r="D22" s="685"/>
      <c r="E22" s="685"/>
      <c r="F22" s="745"/>
      <c r="G22" s="20"/>
      <c r="H22" s="20"/>
      <c r="I22" s="188"/>
    </row>
    <row r="23" spans="1:9" ht="14.1" customHeight="1" x14ac:dyDescent="0.25">
      <c r="B23" s="171"/>
      <c r="C23" s="313"/>
      <c r="D23" s="313"/>
      <c r="E23" s="313"/>
      <c r="F23" s="155"/>
      <c r="G23" s="155"/>
      <c r="H23" s="155"/>
      <c r="I23" s="617"/>
    </row>
    <row r="24" spans="1:9" ht="24.45" customHeight="1" x14ac:dyDescent="0.2">
      <c r="B24" s="961" t="s">
        <v>1165</v>
      </c>
      <c r="C24" s="961"/>
      <c r="D24" s="961"/>
      <c r="E24" s="961"/>
      <c r="F24" s="961"/>
      <c r="G24" s="961"/>
      <c r="H24" s="961"/>
      <c r="I24" s="617"/>
    </row>
    <row r="25" spans="1:9" ht="14.1" customHeight="1" x14ac:dyDescent="0.2">
      <c r="B25" s="314"/>
      <c r="C25" s="314"/>
      <c r="D25" s="314"/>
      <c r="E25" s="314"/>
      <c r="F25" s="314"/>
      <c r="G25" s="314"/>
      <c r="H25" s="314"/>
      <c r="I25" s="617"/>
    </row>
    <row r="26" spans="1:9" ht="14.1" customHeight="1" x14ac:dyDescent="0.2">
      <c r="B26" s="314"/>
      <c r="C26" s="314"/>
      <c r="D26" s="314"/>
      <c r="E26" s="314"/>
      <c r="F26" s="314"/>
      <c r="G26" s="314"/>
      <c r="H26" s="314"/>
      <c r="I26" s="617"/>
    </row>
    <row r="27" spans="1:9" s="312" customFormat="1" ht="14.1" customHeight="1" x14ac:dyDescent="0.2">
      <c r="A27" s="257"/>
      <c r="B27" s="314"/>
      <c r="C27" s="314"/>
      <c r="D27" s="314"/>
      <c r="E27" s="314"/>
      <c r="F27" s="314"/>
      <c r="G27" s="314"/>
      <c r="H27" s="314"/>
    </row>
    <row r="28" spans="1:9" ht="14.1" customHeight="1" x14ac:dyDescent="0.2">
      <c r="B28" s="155"/>
      <c r="C28" s="155"/>
      <c r="D28" s="155"/>
      <c r="E28" s="155"/>
      <c r="F28" s="155"/>
      <c r="G28" s="155"/>
      <c r="H28" s="155"/>
    </row>
    <row r="29" spans="1:9" ht="14.1" customHeight="1" x14ac:dyDescent="0.2">
      <c r="B29" s="155"/>
      <c r="C29" s="155"/>
      <c r="D29" s="155"/>
      <c r="E29" s="155"/>
      <c r="F29" s="155"/>
      <c r="G29" s="155"/>
      <c r="H29" s="155"/>
    </row>
    <row r="30" spans="1:9" ht="14.1" customHeight="1" x14ac:dyDescent="0.2">
      <c r="B30" s="155"/>
      <c r="C30" s="155"/>
      <c r="D30" s="155"/>
      <c r="E30" s="155"/>
      <c r="F30" s="155"/>
      <c r="G30" s="155"/>
      <c r="H30" s="155"/>
    </row>
  </sheetData>
  <customSheetViews>
    <customSheetView guid="{EDC1BD6E-863A-4FC6-A3A9-F32079F4F0C1}" topLeftCell="A109">
      <selection activeCell="G146" sqref="G146"/>
      <pageMargins left="0.7" right="0.7" top="0.75" bottom="0.75" header="0.3" footer="0.3"/>
      <pageSetup paperSize="9" orientation="portrait" verticalDpi="0" r:id="rId1"/>
    </customSheetView>
  </customSheetViews>
  <mergeCells count="9">
    <mergeCell ref="B3:H3"/>
    <mergeCell ref="E15:F15"/>
    <mergeCell ref="B17:B18"/>
    <mergeCell ref="G15:H15"/>
    <mergeCell ref="B24:H24"/>
    <mergeCell ref="B7:B8"/>
    <mergeCell ref="B13:H13"/>
    <mergeCell ref="G5:H5"/>
    <mergeCell ref="E5:F5"/>
  </mergeCells>
  <pageMargins left="0.70866141732283472" right="0.70866141732283472" top="0.74803149606299213" bottom="0.74803149606299213" header="0.31496062992125984" footer="0.31496062992125984"/>
  <pageSetup paperSize="9" fitToHeight="0" orientation="portrait" r:id="rId2"/>
  <headerFooter>
    <oddHeader>&amp;C&amp;10Hull University Teaching Hospitals NHS Trust - Annual Accounts 2018/19</oddHeader>
    <oddFooter>&amp;C&amp;10Page &amp;P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zoomScaleNormal="100" workbookViewId="0">
      <selection activeCell="B30" sqref="B30:F32"/>
    </sheetView>
  </sheetViews>
  <sheetFormatPr defaultColWidth="9.109375" defaultRowHeight="14.1" customHeight="1" x14ac:dyDescent="0.2"/>
  <cols>
    <col min="1" max="1" width="2.109375" style="603" customWidth="1"/>
    <col min="2" max="2" width="38" style="597" customWidth="1"/>
    <col min="3" max="3" width="10.109375" style="597" customWidth="1"/>
    <col min="4" max="4" width="1.109375" style="597" customWidth="1"/>
    <col min="5" max="5" width="8.6640625" style="597" customWidth="1"/>
    <col min="6" max="6" width="0.88671875" style="597" customWidth="1"/>
    <col min="7" max="7" width="2.6640625" style="597" customWidth="1"/>
    <col min="8" max="8" width="0.88671875" style="597" customWidth="1"/>
    <col min="9" max="9" width="9.33203125" style="597" customWidth="1"/>
    <col min="10" max="10" width="0.88671875" style="597" customWidth="1"/>
    <col min="11" max="11" width="8.33203125" style="597" customWidth="1"/>
    <col min="12" max="16384" width="9.109375" style="597"/>
  </cols>
  <sheetData>
    <row r="1" spans="1:11" ht="14.1" customHeight="1" x14ac:dyDescent="0.25">
      <c r="A1" s="603">
        <f>'FI2'!A1+0.1</f>
        <v>31.300000000000004</v>
      </c>
      <c r="B1" s="610" t="str">
        <f>"Note "&amp;A1&amp; " Carrying value of financial liabilities"</f>
        <v>Note 31.3 Carrying value of financial liabilities</v>
      </c>
    </row>
    <row r="2" spans="1:11" s="767" customFormat="1" ht="14.1" customHeight="1" x14ac:dyDescent="0.25">
      <c r="A2" s="722"/>
      <c r="B2" s="781"/>
    </row>
    <row r="3" spans="1:11" ht="38.1" customHeight="1" x14ac:dyDescent="0.2">
      <c r="B3" s="954" t="s">
        <v>923</v>
      </c>
      <c r="C3" s="954"/>
      <c r="D3" s="954"/>
      <c r="E3" s="954"/>
      <c r="F3" s="954"/>
      <c r="G3" s="954"/>
      <c r="H3" s="954"/>
      <c r="I3" s="954"/>
      <c r="J3" s="954"/>
      <c r="K3" s="954"/>
    </row>
    <row r="4" spans="1:11" ht="48.75" customHeight="1" x14ac:dyDescent="0.25">
      <c r="B4" s="598"/>
      <c r="C4" s="598"/>
      <c r="D4" s="598"/>
      <c r="E4" s="598"/>
      <c r="F4" s="958"/>
      <c r="G4" s="958"/>
      <c r="H4" s="958"/>
      <c r="I4" s="958"/>
      <c r="J4" s="960" t="s">
        <v>611</v>
      </c>
      <c r="K4" s="960"/>
    </row>
    <row r="5" spans="1:11" ht="14.1" customHeight="1" x14ac:dyDescent="0.25">
      <c r="B5" s="598"/>
      <c r="C5" s="598"/>
      <c r="D5" s="598"/>
      <c r="E5" s="598"/>
      <c r="F5" s="136"/>
      <c r="G5" s="136"/>
      <c r="H5" s="136"/>
      <c r="I5" s="136"/>
      <c r="J5" s="609"/>
      <c r="K5" s="609" t="s">
        <v>250</v>
      </c>
    </row>
    <row r="6" spans="1:11" ht="14.1" customHeight="1" x14ac:dyDescent="0.25">
      <c r="B6" s="964" t="str">
        <f>"Carrying values of financial liabilities as at " &amp; TEXT(CurrentYearEnd, "d mmmm yyyy")&amp;" under IFRS 9"</f>
        <v>Carrying values of financial liabilities as at 31 March 2019 under IFRS 9</v>
      </c>
      <c r="C6" s="964"/>
      <c r="D6" s="964"/>
      <c r="E6" s="964"/>
      <c r="F6" s="745"/>
      <c r="G6" s="45"/>
      <c r="H6" s="45"/>
      <c r="I6" s="45"/>
      <c r="J6" s="599"/>
      <c r="K6" s="599"/>
    </row>
    <row r="7" spans="1:11" ht="14.1" customHeight="1" x14ac:dyDescent="0.25">
      <c r="B7" s="615" t="s">
        <v>855</v>
      </c>
      <c r="C7" s="308"/>
      <c r="D7" s="308"/>
      <c r="E7" s="308"/>
      <c r="F7" s="853"/>
      <c r="G7" s="685"/>
      <c r="H7" s="685"/>
      <c r="I7" s="685"/>
      <c r="K7" s="606">
        <v>54327</v>
      </c>
    </row>
    <row r="8" spans="1:11" ht="14.1" customHeight="1" x14ac:dyDescent="0.25">
      <c r="A8" s="597"/>
      <c r="B8" s="615" t="s">
        <v>408</v>
      </c>
      <c r="C8" s="308"/>
      <c r="D8" s="308"/>
      <c r="E8" s="308"/>
      <c r="F8" s="853"/>
      <c r="G8" s="685"/>
      <c r="H8" s="685"/>
      <c r="I8" s="685"/>
      <c r="K8" s="606">
        <v>2022</v>
      </c>
    </row>
    <row r="9" spans="1:11" ht="14.1" customHeight="1" x14ac:dyDescent="0.25">
      <c r="A9" s="597"/>
      <c r="B9" s="615" t="s">
        <v>1198</v>
      </c>
      <c r="C9" s="308"/>
      <c r="D9" s="308"/>
      <c r="E9" s="308"/>
      <c r="F9" s="853"/>
      <c r="G9" s="685"/>
      <c r="H9" s="685"/>
      <c r="I9" s="685"/>
      <c r="K9" s="606">
        <v>48474</v>
      </c>
    </row>
    <row r="10" spans="1:11" ht="14.1" hidden="1" customHeight="1" x14ac:dyDescent="0.25">
      <c r="A10" s="597"/>
      <c r="B10" s="615"/>
      <c r="C10" s="615"/>
      <c r="D10" s="615"/>
      <c r="E10" s="615"/>
      <c r="F10" s="853"/>
      <c r="G10" s="685"/>
      <c r="H10" s="685"/>
      <c r="I10" s="685"/>
      <c r="K10" s="606"/>
    </row>
    <row r="11" spans="1:11" ht="14.1" customHeight="1" x14ac:dyDescent="0.25">
      <c r="A11" s="597"/>
      <c r="B11" s="615" t="s">
        <v>432</v>
      </c>
      <c r="C11" s="308"/>
      <c r="D11" s="308"/>
      <c r="E11" s="308"/>
      <c r="F11" s="853"/>
      <c r="G11" s="685"/>
      <c r="H11" s="685"/>
      <c r="I11" s="685"/>
      <c r="K11" s="606">
        <v>48104</v>
      </c>
    </row>
    <row r="12" spans="1:11" ht="14.1" customHeight="1" x14ac:dyDescent="0.25">
      <c r="A12" s="597"/>
      <c r="B12" s="615" t="s">
        <v>263</v>
      </c>
      <c r="C12" s="308"/>
      <c r="D12" s="308"/>
      <c r="E12" s="308"/>
      <c r="F12" s="853"/>
      <c r="G12" s="685"/>
      <c r="H12" s="685"/>
      <c r="I12" s="685"/>
      <c r="K12" s="606">
        <v>0</v>
      </c>
    </row>
    <row r="13" spans="1:11" ht="6" customHeight="1" x14ac:dyDescent="0.25">
      <c r="A13" s="597"/>
      <c r="B13" s="615"/>
      <c r="C13" s="308"/>
      <c r="D13" s="308"/>
      <c r="E13" s="308"/>
      <c r="F13" s="853"/>
      <c r="G13" s="685"/>
      <c r="H13" s="685"/>
      <c r="I13" s="685"/>
      <c r="K13" s="606"/>
    </row>
    <row r="14" spans="1:11" ht="14.1" customHeight="1" thickBot="1" x14ac:dyDescent="0.3">
      <c r="A14" s="597"/>
      <c r="B14" s="964" t="str">
        <f>"Total at " &amp; TEXT(CurrentYearEnd, "d mmmm yyyy")</f>
        <v>Total at 31 March 2019</v>
      </c>
      <c r="C14" s="964"/>
      <c r="D14" s="964"/>
      <c r="E14" s="964"/>
      <c r="F14" s="854"/>
      <c r="G14" s="684"/>
      <c r="H14" s="685"/>
      <c r="I14" s="684"/>
      <c r="K14" s="605">
        <f>SUM(K7:K13)</f>
        <v>152927</v>
      </c>
    </row>
    <row r="15" spans="1:11" ht="24.6" customHeight="1" thickTop="1" x14ac:dyDescent="0.3">
      <c r="A15" s="597"/>
      <c r="B15" s="939"/>
      <c r="C15" s="966"/>
      <c r="D15" s="966"/>
      <c r="E15" s="966"/>
      <c r="F15" s="966"/>
      <c r="G15" s="966"/>
      <c r="H15" s="966"/>
      <c r="I15" s="966"/>
    </row>
    <row r="16" spans="1:11" ht="36" customHeight="1" x14ac:dyDescent="0.25">
      <c r="A16" s="597"/>
      <c r="B16" s="598"/>
      <c r="C16" s="598"/>
      <c r="D16" s="598"/>
      <c r="E16" s="598"/>
      <c r="F16" s="958"/>
      <c r="G16" s="958"/>
      <c r="H16" s="958"/>
      <c r="I16" s="958"/>
      <c r="J16" s="960" t="s">
        <v>611</v>
      </c>
      <c r="K16" s="960"/>
    </row>
    <row r="17" spans="1:12" ht="14.1" customHeight="1" x14ac:dyDescent="0.25">
      <c r="A17" s="597"/>
      <c r="B17" s="598"/>
      <c r="C17" s="598"/>
      <c r="D17" s="598"/>
      <c r="E17" s="598"/>
      <c r="F17" s="852"/>
      <c r="G17" s="852"/>
      <c r="H17" s="852"/>
      <c r="I17" s="852"/>
      <c r="J17" s="609"/>
      <c r="K17" s="609" t="s">
        <v>250</v>
      </c>
    </row>
    <row r="18" spans="1:12" ht="14.1" customHeight="1" x14ac:dyDescent="0.25">
      <c r="A18" s="597"/>
      <c r="B18" s="964" t="str">
        <f>"Carrying values of financial liabilities as at " &amp; TEXT(ComparativeYearEnd, "d mmmm yyyy")&amp;" under IAS 39"</f>
        <v>Carrying values of financial liabilities as at 31 March 2018 under IAS 39</v>
      </c>
      <c r="C18" s="964"/>
      <c r="D18" s="964"/>
      <c r="E18" s="964"/>
      <c r="F18" s="745"/>
      <c r="G18" s="45"/>
      <c r="H18" s="45"/>
      <c r="I18" s="45"/>
      <c r="J18" s="599"/>
      <c r="K18" s="599"/>
    </row>
    <row r="19" spans="1:12" ht="14.1" customHeight="1" x14ac:dyDescent="0.2">
      <c r="A19" s="597"/>
      <c r="B19" s="615" t="s">
        <v>855</v>
      </c>
      <c r="C19" s="308"/>
      <c r="D19" s="308"/>
      <c r="E19" s="308"/>
      <c r="F19" s="853"/>
      <c r="G19" s="679"/>
      <c r="H19" s="685"/>
      <c r="I19" s="685"/>
      <c r="K19" s="604">
        <v>55280</v>
      </c>
      <c r="L19" s="616"/>
    </row>
    <row r="20" spans="1:12" ht="14.1" customHeight="1" x14ac:dyDescent="0.2">
      <c r="A20" s="597"/>
      <c r="B20" s="615" t="s">
        <v>408</v>
      </c>
      <c r="C20" s="308"/>
      <c r="D20" s="308"/>
      <c r="E20" s="308"/>
      <c r="F20" s="853"/>
      <c r="G20" s="679"/>
      <c r="H20" s="685"/>
      <c r="I20" s="685"/>
      <c r="K20" s="604">
        <v>2078</v>
      </c>
    </row>
    <row r="21" spans="1:12" ht="14.1" customHeight="1" x14ac:dyDescent="0.2">
      <c r="A21" s="597"/>
      <c r="B21" s="615" t="s">
        <v>1198</v>
      </c>
      <c r="C21" s="308"/>
      <c r="D21" s="308"/>
      <c r="E21" s="308"/>
      <c r="F21" s="853"/>
      <c r="G21" s="679"/>
      <c r="H21" s="685"/>
      <c r="I21" s="685"/>
      <c r="K21" s="604">
        <v>50251</v>
      </c>
    </row>
    <row r="22" spans="1:12" ht="14.1" hidden="1" customHeight="1" x14ac:dyDescent="0.2">
      <c r="A22" s="597"/>
      <c r="B22" s="615" t="s">
        <v>910</v>
      </c>
      <c r="C22" s="308"/>
      <c r="D22" s="308"/>
      <c r="E22" s="308"/>
      <c r="F22" s="853"/>
      <c r="G22" s="679"/>
      <c r="H22" s="685"/>
      <c r="I22" s="685"/>
      <c r="K22" s="604">
        <v>0</v>
      </c>
    </row>
    <row r="23" spans="1:12" ht="14.1" customHeight="1" x14ac:dyDescent="0.2">
      <c r="A23" s="597"/>
      <c r="B23" s="615" t="s">
        <v>432</v>
      </c>
      <c r="C23" s="308"/>
      <c r="D23" s="308"/>
      <c r="E23" s="308"/>
      <c r="F23" s="853"/>
      <c r="G23" s="679"/>
      <c r="H23" s="685"/>
      <c r="I23" s="685"/>
      <c r="K23" s="604">
        <v>45428</v>
      </c>
    </row>
    <row r="24" spans="1:12" ht="14.1" hidden="1" customHeight="1" x14ac:dyDescent="0.2">
      <c r="A24" s="597"/>
      <c r="B24" s="615" t="s">
        <v>263</v>
      </c>
      <c r="C24" s="308"/>
      <c r="D24" s="308"/>
      <c r="E24" s="308"/>
      <c r="F24" s="853"/>
      <c r="G24" s="679"/>
      <c r="H24" s="685"/>
      <c r="I24" s="685"/>
      <c r="K24" s="604">
        <v>0</v>
      </c>
    </row>
    <row r="25" spans="1:12" ht="14.1" customHeight="1" x14ac:dyDescent="0.2">
      <c r="A25" s="597"/>
      <c r="B25" s="615" t="s">
        <v>433</v>
      </c>
      <c r="C25" s="308"/>
      <c r="D25" s="308"/>
      <c r="E25" s="308"/>
      <c r="F25" s="853"/>
      <c r="G25" s="679"/>
      <c r="H25" s="685"/>
      <c r="I25" s="685"/>
      <c r="K25" s="604">
        <v>0</v>
      </c>
    </row>
    <row r="26" spans="1:12" ht="14.1" customHeight="1" thickBot="1" x14ac:dyDescent="0.3">
      <c r="A26" s="597"/>
      <c r="B26" s="964" t="str">
        <f>"Total at " &amp; TEXT(ComparativeYearEnd, "d mmmm yyyy")</f>
        <v>Total at 31 March 2018</v>
      </c>
      <c r="C26" s="964"/>
      <c r="D26" s="964"/>
      <c r="E26" s="964"/>
      <c r="F26" s="854"/>
      <c r="G26" s="679"/>
      <c r="H26" s="685"/>
      <c r="I26" s="684"/>
      <c r="K26" s="605">
        <f>SUM(K19:K25)</f>
        <v>153037</v>
      </c>
    </row>
    <row r="27" spans="1:12" ht="14.1" customHeight="1" thickTop="1" x14ac:dyDescent="0.2">
      <c r="A27" s="597"/>
      <c r="F27" s="679"/>
      <c r="G27" s="679"/>
      <c r="H27" s="685"/>
      <c r="I27" s="679"/>
    </row>
    <row r="28" spans="1:12" ht="21" customHeight="1" x14ac:dyDescent="0.2">
      <c r="B28" s="597" t="s">
        <v>1164</v>
      </c>
    </row>
    <row r="29" spans="1:12" ht="36.6" customHeight="1" x14ac:dyDescent="0.25">
      <c r="A29" s="603">
        <f>A1+0.1</f>
        <v>31.400000000000006</v>
      </c>
      <c r="B29" s="618" t="str">
        <f>"Note "&amp; A29&amp; " Fair values of financial assets and liabilities"</f>
        <v>Note 31.4 Fair values of financial assets and liabilities</v>
      </c>
    </row>
    <row r="30" spans="1:12" ht="48" customHeight="1" x14ac:dyDescent="0.2">
      <c r="B30" s="910" t="s">
        <v>1108</v>
      </c>
      <c r="C30" s="910"/>
      <c r="D30" s="910"/>
      <c r="E30" s="910"/>
      <c r="F30" s="910"/>
      <c r="G30" s="910"/>
      <c r="H30" s="910"/>
      <c r="I30" s="910"/>
      <c r="J30" s="910"/>
      <c r="K30" s="910"/>
      <c r="L30" s="617"/>
    </row>
    <row r="31" spans="1:12" ht="8.1" customHeight="1" x14ac:dyDescent="0.2">
      <c r="B31" s="611"/>
      <c r="C31" s="611"/>
      <c r="D31" s="611"/>
      <c r="E31" s="611"/>
      <c r="F31" s="611"/>
      <c r="G31" s="611"/>
      <c r="H31" s="611"/>
      <c r="I31" s="611"/>
      <c r="J31" s="611"/>
      <c r="K31" s="611"/>
    </row>
    <row r="32" spans="1:12" ht="9.6" hidden="1" customHeight="1" x14ac:dyDescent="0.2">
      <c r="B32" s="965"/>
      <c r="C32" s="965"/>
      <c r="D32" s="965"/>
      <c r="E32" s="965"/>
      <c r="F32" s="965"/>
      <c r="G32" s="965"/>
      <c r="H32" s="965"/>
      <c r="I32" s="965"/>
      <c r="J32" s="965"/>
      <c r="K32" s="965"/>
      <c r="L32" s="617"/>
    </row>
    <row r="33" spans="1:12" s="729" customFormat="1" ht="6" hidden="1" customHeight="1" x14ac:dyDescent="0.2">
      <c r="A33" s="722"/>
      <c r="B33" s="351"/>
      <c r="C33" s="351"/>
      <c r="D33" s="351"/>
      <c r="E33" s="351"/>
      <c r="F33" s="351"/>
      <c r="G33" s="351"/>
      <c r="H33" s="351"/>
      <c r="I33" s="351"/>
      <c r="J33" s="351"/>
      <c r="K33" s="351"/>
      <c r="L33" s="732"/>
    </row>
    <row r="34" spans="1:12" ht="13.95" customHeight="1" x14ac:dyDescent="0.2">
      <c r="B34" s="614"/>
      <c r="C34" s="614"/>
      <c r="D34" s="614"/>
      <c r="E34" s="614"/>
      <c r="F34" s="614"/>
      <c r="G34" s="614"/>
      <c r="H34" s="614"/>
      <c r="I34" s="614"/>
      <c r="J34" s="614"/>
      <c r="K34" s="614"/>
    </row>
    <row r="35" spans="1:12" ht="14.1" customHeight="1" x14ac:dyDescent="0.25">
      <c r="A35" s="603">
        <f>A29+0.1</f>
        <v>31.500000000000007</v>
      </c>
      <c r="B35" s="598" t="str">
        <f>"Note "&amp; A35&amp; " Maturity of financial liabilities"</f>
        <v>Note 31.5 Maturity of financial liabilities</v>
      </c>
      <c r="C35" s="598"/>
      <c r="D35" s="598"/>
      <c r="E35" s="598"/>
      <c r="F35" s="598"/>
      <c r="G35" s="598"/>
      <c r="H35" s="598"/>
      <c r="I35" s="598"/>
      <c r="J35" s="598"/>
      <c r="K35" s="598"/>
    </row>
    <row r="36" spans="1:12" ht="28.2" customHeight="1" x14ac:dyDescent="0.25">
      <c r="B36" s="598"/>
      <c r="C36" s="598"/>
      <c r="D36" s="960"/>
      <c r="E36" s="960"/>
      <c r="F36" s="609"/>
      <c r="G36" s="609"/>
      <c r="H36" s="609"/>
      <c r="I36" s="609" t="str">
        <f xml:space="preserve"> TEXT(CurrentYearEnd, "d mmmm yyyy")</f>
        <v>31 March 2019</v>
      </c>
      <c r="J36" s="609"/>
      <c r="K36" s="624" t="str">
        <f>TEXT(ComparativeYearEnd, "d mmmm yyyy")</f>
        <v>31 March 2018</v>
      </c>
    </row>
    <row r="37" spans="1:12" ht="14.1" customHeight="1" x14ac:dyDescent="0.25">
      <c r="B37" s="598"/>
      <c r="C37" s="598"/>
      <c r="D37" s="609"/>
      <c r="E37" s="609"/>
      <c r="F37" s="609"/>
      <c r="G37" s="609"/>
      <c r="H37" s="609"/>
      <c r="I37" s="609" t="s">
        <v>283</v>
      </c>
      <c r="J37" s="609"/>
      <c r="K37" s="624" t="s">
        <v>283</v>
      </c>
    </row>
    <row r="38" spans="1:12" s="767" customFormat="1" ht="14.1" customHeight="1" x14ac:dyDescent="0.25">
      <c r="A38" s="722"/>
      <c r="B38" s="777"/>
      <c r="C38" s="777"/>
      <c r="D38" s="778"/>
      <c r="E38" s="778"/>
      <c r="F38" s="778"/>
      <c r="G38" s="778"/>
      <c r="H38" s="778"/>
      <c r="I38" s="778"/>
      <c r="J38" s="778"/>
      <c r="K38" s="664"/>
    </row>
    <row r="39" spans="1:12" ht="14.1" customHeight="1" x14ac:dyDescent="0.2">
      <c r="B39" s="963" t="s">
        <v>426</v>
      </c>
      <c r="C39" s="963"/>
      <c r="D39" s="601"/>
      <c r="E39" s="604"/>
      <c r="F39" s="604"/>
      <c r="G39" s="604"/>
      <c r="H39" s="604"/>
      <c r="I39" s="604">
        <v>71194</v>
      </c>
      <c r="J39" s="604"/>
      <c r="K39" s="620">
        <v>62709</v>
      </c>
    </row>
    <row r="40" spans="1:12" ht="14.1" customHeight="1" x14ac:dyDescent="0.2">
      <c r="B40" s="963" t="s">
        <v>427</v>
      </c>
      <c r="C40" s="963"/>
      <c r="D40" s="601"/>
      <c r="E40" s="604"/>
      <c r="F40" s="604"/>
      <c r="G40" s="604"/>
      <c r="H40" s="604"/>
      <c r="I40" s="604">
        <v>14852</v>
      </c>
      <c r="J40" s="604"/>
      <c r="K40" s="620">
        <v>9117</v>
      </c>
    </row>
    <row r="41" spans="1:12" ht="14.1" customHeight="1" x14ac:dyDescent="0.2">
      <c r="B41" s="963" t="s">
        <v>428</v>
      </c>
      <c r="C41" s="963"/>
      <c r="D41" s="601"/>
      <c r="E41" s="604"/>
      <c r="F41" s="604"/>
      <c r="G41" s="604"/>
      <c r="H41" s="604"/>
      <c r="I41" s="604">
        <v>11293</v>
      </c>
      <c r="J41" s="604"/>
      <c r="K41" s="620">
        <v>25731</v>
      </c>
    </row>
    <row r="42" spans="1:12" ht="14.1" customHeight="1" x14ac:dyDescent="0.2">
      <c r="B42" s="963" t="s">
        <v>429</v>
      </c>
      <c r="C42" s="963"/>
      <c r="D42" s="601"/>
      <c r="E42" s="604"/>
      <c r="F42" s="604"/>
      <c r="G42" s="604"/>
      <c r="H42" s="604"/>
      <c r="I42" s="604">
        <v>55588</v>
      </c>
      <c r="J42" s="604"/>
      <c r="K42" s="620">
        <v>55480</v>
      </c>
    </row>
    <row r="43" spans="1:12" ht="14.1" customHeight="1" thickBot="1" x14ac:dyDescent="0.35">
      <c r="B43" s="964" t="s">
        <v>282</v>
      </c>
      <c r="C43" s="964"/>
      <c r="D43" s="598"/>
      <c r="E43" s="607"/>
      <c r="F43" s="607"/>
      <c r="G43" s="607"/>
      <c r="H43" s="607"/>
      <c r="I43" s="605">
        <f>SUM(I39:I42)</f>
        <v>152927</v>
      </c>
      <c r="J43" s="596"/>
      <c r="K43" s="622">
        <f>SUM(K39:K42)</f>
        <v>153037</v>
      </c>
    </row>
    <row r="44" spans="1:12" ht="14.1" customHeight="1" thickTop="1" x14ac:dyDescent="0.25">
      <c r="B44" s="598"/>
      <c r="C44" s="598"/>
      <c r="D44" s="598"/>
      <c r="E44" s="598"/>
      <c r="F44" s="598"/>
      <c r="G44" s="598"/>
      <c r="H44" s="598"/>
      <c r="K44" s="602"/>
    </row>
    <row r="45" spans="1:12" ht="14.1" customHeight="1" x14ac:dyDescent="0.2">
      <c r="B45" s="616"/>
      <c r="C45" s="616"/>
      <c r="D45" s="616"/>
      <c r="E45" s="616"/>
      <c r="F45" s="616"/>
      <c r="G45" s="616"/>
      <c r="H45" s="616"/>
      <c r="I45" s="616"/>
      <c r="J45" s="616"/>
      <c r="K45" s="616"/>
    </row>
    <row r="46" spans="1:12" ht="14.1" customHeight="1" x14ac:dyDescent="0.2">
      <c r="B46" s="613"/>
      <c r="C46" s="613"/>
      <c r="D46" s="613"/>
      <c r="E46" s="613"/>
      <c r="F46" s="613"/>
      <c r="G46" s="613"/>
      <c r="H46" s="613"/>
      <c r="I46" s="613"/>
      <c r="J46" s="613"/>
      <c r="K46" s="613"/>
    </row>
    <row r="47" spans="1:12" ht="14.1" customHeight="1" x14ac:dyDescent="0.2">
      <c r="B47" s="613"/>
      <c r="C47" s="613"/>
      <c r="D47" s="613"/>
      <c r="E47" s="613"/>
      <c r="F47" s="613"/>
      <c r="G47" s="613"/>
      <c r="H47" s="613"/>
      <c r="I47" s="613"/>
      <c r="J47" s="613"/>
      <c r="K47" s="613"/>
    </row>
    <row r="48" spans="1:12" ht="14.1" customHeight="1" x14ac:dyDescent="0.2">
      <c r="B48" s="613"/>
      <c r="C48" s="613"/>
      <c r="D48" s="613"/>
      <c r="E48" s="613"/>
      <c r="F48" s="613"/>
      <c r="G48" s="613"/>
      <c r="H48" s="613"/>
      <c r="I48" s="613"/>
      <c r="J48" s="613"/>
      <c r="K48" s="613"/>
    </row>
  </sheetData>
  <mergeCells count="20">
    <mergeCell ref="B26:E26"/>
    <mergeCell ref="B3:K3"/>
    <mergeCell ref="F4:G4"/>
    <mergeCell ref="H4:I4"/>
    <mergeCell ref="J4:K4"/>
    <mergeCell ref="B6:E6"/>
    <mergeCell ref="B14:E14"/>
    <mergeCell ref="F16:G16"/>
    <mergeCell ref="H16:I16"/>
    <mergeCell ref="J16:K16"/>
    <mergeCell ref="B18:E18"/>
    <mergeCell ref="B15:I15"/>
    <mergeCell ref="B41:C41"/>
    <mergeCell ref="B42:C42"/>
    <mergeCell ref="B43:C43"/>
    <mergeCell ref="B30:K30"/>
    <mergeCell ref="B32:K32"/>
    <mergeCell ref="D36:E36"/>
    <mergeCell ref="B39:C39"/>
    <mergeCell ref="B40:C40"/>
  </mergeCells>
  <pageMargins left="0.70866141732283472" right="0.70866141732283472" top="0.74803149606299213" bottom="0.74803149606299213" header="0.31496062992125984" footer="0.31496062992125984"/>
  <pageSetup paperSize="9" fitToHeight="0" orientation="portrait" r:id="rId1"/>
  <headerFooter>
    <oddHeader>&amp;C&amp;10Hull University Teaching Hospitals NHS Trust - Annual Accounts 2018/19</oddHeader>
    <oddFooter>&amp;C&amp;10Page &amp;P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K57"/>
  <sheetViews>
    <sheetView topLeftCell="A22" zoomScaleNormal="100" workbookViewId="0">
      <selection activeCell="B30" sqref="B30:F32"/>
    </sheetView>
  </sheetViews>
  <sheetFormatPr defaultColWidth="9.109375" defaultRowHeight="14.1" customHeight="1" x14ac:dyDescent="0.2"/>
  <cols>
    <col min="1" max="1" width="1.109375" style="52" customWidth="1"/>
    <col min="2" max="2" width="43.6640625" style="25" customWidth="1"/>
    <col min="3" max="3" width="8.6640625" style="25" customWidth="1"/>
    <col min="4" max="4" width="2.6640625" style="767" customWidth="1"/>
    <col min="5" max="5" width="8.6640625" style="25" customWidth="1"/>
    <col min="6" max="6" width="2.6640625" style="25" customWidth="1"/>
    <col min="7" max="7" width="8.6640625" style="602" customWidth="1"/>
    <col min="8" max="8" width="2.6640625" style="602" customWidth="1"/>
    <col min="9" max="9" width="8.6640625" style="602" customWidth="1"/>
    <col min="10" max="16384" width="9.109375" style="25"/>
  </cols>
  <sheetData>
    <row r="1" spans="1:11" ht="14.1" customHeight="1" x14ac:dyDescent="0.25">
      <c r="A1" s="52">
        <f>'FI1'!A1+1</f>
        <v>32</v>
      </c>
      <c r="B1" s="119" t="str">
        <f>"Note "&amp;A1&amp; " Losses and special payments"</f>
        <v>Note 32 Losses and special payments</v>
      </c>
      <c r="C1" s="119"/>
      <c r="D1" s="777"/>
      <c r="E1" s="119"/>
      <c r="F1" s="119"/>
      <c r="G1" s="623"/>
      <c r="H1" s="623"/>
      <c r="I1" s="623"/>
    </row>
    <row r="2" spans="1:11" s="767" customFormat="1" ht="14.1" customHeight="1" x14ac:dyDescent="0.25">
      <c r="A2" s="722"/>
      <c r="B2" s="777"/>
      <c r="C2" s="777"/>
      <c r="D2" s="777"/>
      <c r="E2" s="777"/>
      <c r="F2" s="777"/>
      <c r="G2" s="623"/>
      <c r="H2" s="623"/>
      <c r="I2" s="623"/>
    </row>
    <row r="3" spans="1:11" s="597" customFormat="1" ht="14.1" customHeight="1" x14ac:dyDescent="0.2">
      <c r="A3" s="603"/>
      <c r="B3" s="939" t="s">
        <v>1061</v>
      </c>
      <c r="C3" s="939"/>
      <c r="D3" s="939"/>
      <c r="E3" s="939"/>
      <c r="F3" s="939"/>
      <c r="G3" s="939"/>
      <c r="H3" s="776"/>
      <c r="I3" s="623"/>
    </row>
    <row r="4" spans="1:11" ht="31.2" customHeight="1" x14ac:dyDescent="0.25">
      <c r="B4" s="119"/>
      <c r="C4" s="969" t="str">
        <f>CurrentFY</f>
        <v>2018/19</v>
      </c>
      <c r="D4" s="969"/>
      <c r="E4" s="969"/>
      <c r="F4" s="118"/>
      <c r="G4" s="970" t="str">
        <f>ComparativeFY</f>
        <v>2017/18</v>
      </c>
      <c r="H4" s="970"/>
      <c r="I4" s="970"/>
    </row>
    <row r="5" spans="1:11" ht="42" customHeight="1" x14ac:dyDescent="0.25">
      <c r="B5" s="119"/>
      <c r="C5" s="117" t="s">
        <v>434</v>
      </c>
      <c r="D5" s="778"/>
      <c r="E5" s="117" t="s">
        <v>435</v>
      </c>
      <c r="F5" s="117"/>
      <c r="G5" s="624" t="s">
        <v>434</v>
      </c>
      <c r="H5" s="664"/>
      <c r="I5" s="624" t="s">
        <v>435</v>
      </c>
    </row>
    <row r="6" spans="1:11" ht="14.1" customHeight="1" x14ac:dyDescent="0.25">
      <c r="B6" s="119"/>
      <c r="C6" s="117" t="s">
        <v>404</v>
      </c>
      <c r="D6" s="778"/>
      <c r="E6" s="117" t="s">
        <v>283</v>
      </c>
      <c r="F6" s="117"/>
      <c r="G6" s="624" t="s">
        <v>404</v>
      </c>
      <c r="H6" s="664"/>
      <c r="I6" s="624" t="s">
        <v>283</v>
      </c>
    </row>
    <row r="7" spans="1:11" ht="14.1" customHeight="1" x14ac:dyDescent="0.25">
      <c r="B7" s="20"/>
      <c r="C7" s="23"/>
      <c r="D7" s="675"/>
      <c r="E7" s="23"/>
      <c r="F7" s="23"/>
      <c r="G7" s="525"/>
      <c r="H7" s="525"/>
      <c r="I7" s="525"/>
    </row>
    <row r="8" spans="1:11" ht="14.1" customHeight="1" x14ac:dyDescent="0.25">
      <c r="B8" s="119" t="s">
        <v>482</v>
      </c>
      <c r="C8" s="62"/>
      <c r="D8" s="670"/>
      <c r="E8" s="62"/>
      <c r="F8" s="62"/>
      <c r="G8" s="620"/>
      <c r="H8" s="671"/>
      <c r="I8" s="620"/>
    </row>
    <row r="9" spans="1:11" s="75" customFormat="1" ht="14.1" customHeight="1" x14ac:dyDescent="0.2">
      <c r="A9" s="52"/>
      <c r="B9" s="137" t="s">
        <v>523</v>
      </c>
      <c r="C9" s="62">
        <v>1</v>
      </c>
      <c r="D9" s="670"/>
      <c r="E9" s="62">
        <v>0</v>
      </c>
      <c r="F9" s="62"/>
      <c r="G9" s="620">
        <v>0</v>
      </c>
      <c r="H9" s="671"/>
      <c r="I9" s="620">
        <v>0</v>
      </c>
      <c r="K9" s="75" t="s">
        <v>1107</v>
      </c>
    </row>
    <row r="10" spans="1:11" s="75" customFormat="1" ht="14.1" customHeight="1" x14ac:dyDescent="0.2">
      <c r="A10" s="52"/>
      <c r="B10" s="137" t="s">
        <v>534</v>
      </c>
      <c r="C10" s="62" t="s">
        <v>1135</v>
      </c>
      <c r="D10" s="670"/>
      <c r="E10" s="62">
        <v>0</v>
      </c>
      <c r="F10" s="62"/>
      <c r="G10" s="620">
        <v>1</v>
      </c>
      <c r="H10" s="671"/>
      <c r="I10" s="620">
        <v>4</v>
      </c>
    </row>
    <row r="11" spans="1:11" s="75" customFormat="1" ht="14.1" customHeight="1" x14ac:dyDescent="0.25">
      <c r="A11" s="52"/>
      <c r="B11" s="119" t="s">
        <v>525</v>
      </c>
      <c r="C11" s="64">
        <f>SUM(C9:C10)</f>
        <v>1</v>
      </c>
      <c r="D11" s="608"/>
      <c r="E11" s="64">
        <f>SUM(E9:E10)</f>
        <v>0</v>
      </c>
      <c r="F11" s="62"/>
      <c r="G11" s="621">
        <f>SUM(G9:G10)</f>
        <v>1</v>
      </c>
      <c r="H11" s="761"/>
      <c r="I11" s="621">
        <f>SUM(I9:I10)</f>
        <v>4</v>
      </c>
    </row>
    <row r="12" spans="1:11" s="75" customFormat="1" ht="31.2" customHeight="1" x14ac:dyDescent="0.25">
      <c r="A12" s="52"/>
      <c r="B12" s="119" t="s">
        <v>483</v>
      </c>
      <c r="C12" s="62"/>
      <c r="D12" s="685"/>
      <c r="E12" s="62"/>
      <c r="F12" s="62"/>
      <c r="G12" s="620"/>
      <c r="H12" s="762"/>
      <c r="I12" s="620"/>
    </row>
    <row r="13" spans="1:11" s="75" customFormat="1" ht="14.1" customHeight="1" x14ac:dyDescent="0.2">
      <c r="A13" s="52"/>
      <c r="B13" s="276" t="s">
        <v>526</v>
      </c>
      <c r="C13" s="62">
        <v>28</v>
      </c>
      <c r="D13" s="685"/>
      <c r="E13" s="62">
        <v>63</v>
      </c>
      <c r="F13" s="62"/>
      <c r="G13" s="620">
        <v>21</v>
      </c>
      <c r="H13" s="762"/>
      <c r="I13" s="620">
        <v>63</v>
      </c>
    </row>
    <row r="14" spans="1:11" s="861" customFormat="1" ht="14.1" customHeight="1" x14ac:dyDescent="0.2">
      <c r="A14" s="722"/>
      <c r="B14" s="865"/>
      <c r="C14" s="670"/>
      <c r="D14" s="685"/>
      <c r="E14" s="670"/>
      <c r="F14" s="670"/>
      <c r="G14" s="671"/>
      <c r="H14" s="762"/>
      <c r="I14" s="671"/>
    </row>
    <row r="15" spans="1:11" ht="14.1" customHeight="1" x14ac:dyDescent="0.25">
      <c r="B15" s="119" t="s">
        <v>524</v>
      </c>
      <c r="C15" s="64">
        <f>SUM(C13:C13)</f>
        <v>28</v>
      </c>
      <c r="D15" s="608"/>
      <c r="E15" s="64">
        <f>SUM(E13:E13)</f>
        <v>63</v>
      </c>
      <c r="F15" s="62"/>
      <c r="G15" s="621">
        <f>SUM(G13:G13)</f>
        <v>21</v>
      </c>
      <c r="H15" s="761"/>
      <c r="I15" s="621">
        <f>SUM(I13:I13)</f>
        <v>63</v>
      </c>
    </row>
    <row r="16" spans="1:11" s="861" customFormat="1" ht="14.1" customHeight="1" x14ac:dyDescent="0.25">
      <c r="A16" s="722"/>
      <c r="B16" s="863"/>
      <c r="C16" s="559"/>
      <c r="D16" s="608"/>
      <c r="E16" s="559"/>
      <c r="F16" s="670"/>
      <c r="G16" s="621"/>
      <c r="H16" s="761"/>
      <c r="I16" s="621"/>
    </row>
    <row r="17" spans="1:10" ht="14.1" customHeight="1" thickBot="1" x14ac:dyDescent="0.3">
      <c r="B17" s="123" t="s">
        <v>436</v>
      </c>
      <c r="C17" s="63">
        <f>C11+C15</f>
        <v>29</v>
      </c>
      <c r="D17" s="684"/>
      <c r="E17" s="63">
        <f>E11+E15</f>
        <v>63</v>
      </c>
      <c r="F17" s="109"/>
      <c r="G17" s="622">
        <f>G11+G15</f>
        <v>22</v>
      </c>
      <c r="H17" s="758"/>
      <c r="I17" s="622">
        <f>I11+I15</f>
        <v>67</v>
      </c>
      <c r="J17" s="40"/>
    </row>
    <row r="18" spans="1:10" ht="14.1" customHeight="1" thickTop="1" x14ac:dyDescent="0.2">
      <c r="B18" s="158"/>
      <c r="C18" s="62"/>
      <c r="D18" s="670"/>
      <c r="E18" s="62"/>
      <c r="F18" s="62"/>
      <c r="G18" s="620"/>
      <c r="H18" s="671"/>
      <c r="I18" s="620"/>
      <c r="J18" s="40"/>
    </row>
    <row r="19" spans="1:10" ht="25.95" customHeight="1" x14ac:dyDescent="0.2">
      <c r="B19" s="929" t="s">
        <v>1062</v>
      </c>
      <c r="C19" s="929"/>
      <c r="D19" s="929"/>
      <c r="E19" s="929"/>
      <c r="F19" s="929"/>
      <c r="G19" s="929"/>
      <c r="H19" s="929"/>
      <c r="I19" s="929"/>
    </row>
    <row r="20" spans="1:10" ht="14.1" customHeight="1" x14ac:dyDescent="0.2">
      <c r="B20" s="967"/>
      <c r="C20" s="950"/>
      <c r="D20" s="950"/>
      <c r="E20" s="950"/>
      <c r="F20" s="950"/>
      <c r="G20" s="950"/>
      <c r="H20" s="950"/>
      <c r="I20" s="950"/>
    </row>
    <row r="21" spans="1:10" ht="14.1" customHeight="1" x14ac:dyDescent="0.2">
      <c r="B21" s="967"/>
      <c r="C21" s="967"/>
      <c r="D21" s="967"/>
      <c r="E21" s="967"/>
      <c r="F21" s="967"/>
      <c r="G21" s="967"/>
      <c r="H21" s="967"/>
      <c r="I21" s="967"/>
    </row>
    <row r="22" spans="1:10" ht="14.1" customHeight="1" x14ac:dyDescent="0.25">
      <c r="A22" s="52">
        <f>A1+1</f>
        <v>33</v>
      </c>
      <c r="B22" s="968" t="s">
        <v>1128</v>
      </c>
      <c r="C22" s="968"/>
      <c r="D22" s="968"/>
      <c r="E22" s="968"/>
      <c r="F22" s="968"/>
      <c r="G22" s="968"/>
      <c r="H22" s="968"/>
      <c r="I22" s="968"/>
    </row>
    <row r="24" spans="1:10" ht="39.6" customHeight="1" x14ac:dyDescent="0.2">
      <c r="B24" s="930" t="s">
        <v>924</v>
      </c>
      <c r="C24" s="930"/>
      <c r="D24" s="930"/>
      <c r="E24" s="930"/>
      <c r="F24" s="930"/>
      <c r="G24" s="930"/>
      <c r="H24" s="930"/>
      <c r="I24" s="930"/>
    </row>
    <row r="25" spans="1:10" s="172" customFormat="1" ht="14.1" customHeight="1" x14ac:dyDescent="0.25">
      <c r="A25" s="52">
        <f>ROUNDDOWN(A1,0)+1</f>
        <v>33</v>
      </c>
      <c r="B25" s="173"/>
      <c r="C25" s="173"/>
      <c r="D25" s="777"/>
      <c r="E25" s="173"/>
      <c r="F25" s="173"/>
      <c r="G25" s="623"/>
      <c r="H25" s="623"/>
      <c r="I25" s="623"/>
    </row>
    <row r="26" spans="1:10" ht="36" customHeight="1" x14ac:dyDescent="0.2">
      <c r="B26" s="930" t="s">
        <v>918</v>
      </c>
      <c r="C26" s="930"/>
      <c r="D26" s="930"/>
      <c r="E26" s="930"/>
      <c r="F26" s="930"/>
      <c r="G26" s="930"/>
      <c r="H26" s="930"/>
      <c r="I26" s="930"/>
    </row>
    <row r="27" spans="1:10" s="767" customFormat="1" ht="18.600000000000001" customHeight="1" x14ac:dyDescent="0.2">
      <c r="A27" s="722"/>
      <c r="B27" s="766"/>
      <c r="C27" s="766"/>
      <c r="D27" s="766"/>
      <c r="E27" s="766"/>
      <c r="F27" s="766"/>
      <c r="G27" s="766"/>
      <c r="H27" s="766"/>
      <c r="I27" s="766"/>
    </row>
    <row r="29" spans="1:10" ht="14.1" customHeight="1" x14ac:dyDescent="0.25">
      <c r="A29" s="52">
        <f>A22+0.2</f>
        <v>33.200000000000003</v>
      </c>
      <c r="B29" s="239" t="str">
        <f>"Note "&amp;A29&amp; " Initial application of IFRS 15"</f>
        <v>Note 33.2 Initial application of IFRS 15</v>
      </c>
    </row>
    <row r="31" spans="1:10" ht="39" customHeight="1" x14ac:dyDescent="0.2">
      <c r="B31" s="930" t="s">
        <v>925</v>
      </c>
      <c r="C31" s="930"/>
      <c r="D31" s="930"/>
      <c r="E31" s="930"/>
      <c r="F31" s="930"/>
      <c r="G31" s="930"/>
      <c r="H31" s="930"/>
      <c r="I31" s="930"/>
    </row>
    <row r="33" spans="2:9" ht="63.6" customHeight="1" x14ac:dyDescent="0.2">
      <c r="B33" s="930" t="s">
        <v>926</v>
      </c>
      <c r="C33" s="930"/>
      <c r="D33" s="930"/>
      <c r="E33" s="930"/>
      <c r="F33" s="930"/>
      <c r="G33" s="930"/>
      <c r="H33" s="930"/>
      <c r="I33" s="930"/>
    </row>
    <row r="35" spans="2:9" ht="27" customHeight="1" x14ac:dyDescent="0.2">
      <c r="B35" s="930" t="s">
        <v>927</v>
      </c>
      <c r="C35" s="930"/>
      <c r="D35" s="930"/>
      <c r="E35" s="930"/>
      <c r="F35" s="930"/>
      <c r="G35" s="930"/>
      <c r="H35" s="930"/>
      <c r="I35" s="930"/>
    </row>
    <row r="55" ht="13.95" customHeight="1" x14ac:dyDescent="0.2"/>
    <row r="56" ht="13.95" customHeight="1" x14ac:dyDescent="0.2"/>
    <row r="57" ht="26.7" customHeight="1" x14ac:dyDescent="0.2"/>
  </sheetData>
  <customSheetViews>
    <customSheetView guid="{EDC1BD6E-863A-4FC6-A3A9-F32079F4F0C1}">
      <selection activeCell="G38" sqref="G38"/>
      <pageMargins left="0.7" right="0.7" top="0.75" bottom="0.75" header="0.3" footer="0.3"/>
      <pageSetup paperSize="9" orientation="portrait" verticalDpi="0" r:id="rId1"/>
    </customSheetView>
  </customSheetViews>
  <mergeCells count="12">
    <mergeCell ref="B21:I21"/>
    <mergeCell ref="B22:I22"/>
    <mergeCell ref="B3:G3"/>
    <mergeCell ref="C4:E4"/>
    <mergeCell ref="G4:I4"/>
    <mergeCell ref="B19:I19"/>
    <mergeCell ref="B20:I20"/>
    <mergeCell ref="B24:I24"/>
    <mergeCell ref="B26:I26"/>
    <mergeCell ref="B31:I31"/>
    <mergeCell ref="B33:I33"/>
    <mergeCell ref="B35:I35"/>
  </mergeCells>
  <pageMargins left="0.70866141732283472" right="0.70866141732283472" top="0.74803149606299213" bottom="0.74803149606299213" header="0.31496062992125984" footer="0.31496062992125984"/>
  <pageSetup paperSize="9" orientation="portrait" r:id="rId2"/>
  <headerFooter>
    <oddHeader>&amp;C&amp;10Hull University Teaching Hospitals NHS Trust - Annual Accounts 2018/19</oddHeader>
    <oddFooter>&amp;C&amp;10Page &amp;P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4"/>
  <sheetViews>
    <sheetView zoomScaleNormal="100" workbookViewId="0">
      <selection activeCell="B30" sqref="B30:F32"/>
    </sheetView>
  </sheetViews>
  <sheetFormatPr defaultColWidth="9.109375" defaultRowHeight="14.4" x14ac:dyDescent="0.3"/>
  <cols>
    <col min="1" max="1" width="1.33203125" style="53" customWidth="1"/>
    <col min="2" max="2" width="45.6640625" style="244" customWidth="1"/>
    <col min="3" max="3" width="9.109375" style="244"/>
    <col min="4" max="4" width="0.88671875" style="244" customWidth="1"/>
    <col min="5" max="5" width="9.109375" style="244"/>
    <col min="6" max="6" width="1.109375" style="244" customWidth="1"/>
    <col min="7" max="7" width="9.109375" style="244"/>
    <col min="8" max="8" width="0.6640625" style="244" customWidth="1"/>
    <col min="9" max="12" width="9.109375" style="244"/>
    <col min="13" max="13" width="10.6640625" style="244" bestFit="1" customWidth="1"/>
    <col min="14" max="16384" width="9.109375" style="244"/>
  </cols>
  <sheetData>
    <row r="1" spans="1:13" x14ac:dyDescent="0.3">
      <c r="A1" s="53">
        <f>'L&amp;SP, gifts, New Stds'!A22+1</f>
        <v>34</v>
      </c>
      <c r="B1" s="263" t="str">
        <f>"Note " &amp;A1 &amp; " Related parties"</f>
        <v>Note 34 Related parties</v>
      </c>
      <c r="K1" s="43"/>
      <c r="L1" s="846"/>
      <c r="M1" s="847"/>
    </row>
    <row r="2" spans="1:13" s="262" customFormat="1" ht="12" x14ac:dyDescent="0.25">
      <c r="B2" s="972" t="s">
        <v>1063</v>
      </c>
      <c r="C2" s="972"/>
      <c r="D2" s="972"/>
      <c r="E2" s="972"/>
      <c r="F2" s="972"/>
      <c r="G2" s="972"/>
      <c r="H2" s="972"/>
      <c r="I2" s="972"/>
      <c r="K2" s="679"/>
      <c r="L2" s="848"/>
      <c r="M2" s="848"/>
    </row>
    <row r="3" spans="1:13" s="262" customFormat="1" ht="12.75" customHeight="1" x14ac:dyDescent="0.2">
      <c r="B3" s="972"/>
      <c r="C3" s="972"/>
      <c r="D3" s="972"/>
      <c r="E3" s="972"/>
      <c r="F3" s="972"/>
      <c r="G3" s="972"/>
      <c r="H3" s="972"/>
      <c r="I3" s="972"/>
      <c r="K3" s="679"/>
      <c r="L3" s="679"/>
      <c r="M3" s="679"/>
    </row>
    <row r="4" spans="1:13" s="262" customFormat="1" ht="28.95" customHeight="1" x14ac:dyDescent="0.2">
      <c r="B4" s="972"/>
      <c r="C4" s="972"/>
      <c r="D4" s="972"/>
      <c r="E4" s="972"/>
      <c r="F4" s="972"/>
      <c r="G4" s="972"/>
      <c r="H4" s="972"/>
      <c r="I4" s="972"/>
      <c r="K4" s="679"/>
      <c r="L4" s="679"/>
      <c r="M4" s="679"/>
    </row>
    <row r="5" spans="1:13" s="262" customFormat="1" ht="13.95" hidden="1" customHeight="1" x14ac:dyDescent="0.2">
      <c r="B5" s="972"/>
      <c r="C5" s="972"/>
      <c r="D5" s="972"/>
      <c r="E5" s="972"/>
      <c r="F5" s="972"/>
      <c r="G5" s="972"/>
      <c r="H5" s="972"/>
      <c r="I5" s="972"/>
      <c r="K5" s="679"/>
      <c r="L5" s="679"/>
      <c r="M5" s="679"/>
    </row>
    <row r="6" spans="1:13" s="262" customFormat="1" ht="13.95" hidden="1" customHeight="1" x14ac:dyDescent="0.2">
      <c r="B6" s="972"/>
      <c r="C6" s="972"/>
      <c r="D6" s="972"/>
      <c r="E6" s="972"/>
      <c r="F6" s="972"/>
      <c r="G6" s="972"/>
      <c r="H6" s="972"/>
      <c r="I6" s="972"/>
      <c r="K6" s="679"/>
      <c r="L6" s="679"/>
      <c r="M6" s="679"/>
    </row>
    <row r="7" spans="1:13" s="262" customFormat="1" ht="13.95" hidden="1" customHeight="1" x14ac:dyDescent="0.2">
      <c r="B7" s="972"/>
      <c r="C7" s="972"/>
      <c r="D7" s="972"/>
      <c r="E7" s="972"/>
      <c r="F7" s="972"/>
      <c r="G7" s="972"/>
      <c r="H7" s="972"/>
      <c r="I7" s="972"/>
      <c r="K7" s="679"/>
      <c r="L7" s="679"/>
      <c r="M7" s="679"/>
    </row>
    <row r="8" spans="1:13" s="262" customFormat="1" ht="13.95" hidden="1" customHeight="1" x14ac:dyDescent="0.2">
      <c r="B8" s="972"/>
      <c r="C8" s="972"/>
      <c r="D8" s="972"/>
      <c r="E8" s="972"/>
      <c r="F8" s="972"/>
      <c r="G8" s="972"/>
      <c r="H8" s="972"/>
      <c r="I8" s="972"/>
      <c r="K8" s="679"/>
      <c r="L8" s="679"/>
      <c r="M8" s="679"/>
    </row>
    <row r="9" spans="1:13" s="262" customFormat="1" ht="13.95" hidden="1" customHeight="1" x14ac:dyDescent="0.2">
      <c r="B9" s="972"/>
      <c r="C9" s="972"/>
      <c r="D9" s="972"/>
      <c r="E9" s="972"/>
      <c r="F9" s="972"/>
      <c r="G9" s="972"/>
      <c r="H9" s="972"/>
      <c r="I9" s="972"/>
      <c r="K9" s="679"/>
      <c r="L9" s="679"/>
      <c r="M9" s="679"/>
    </row>
    <row r="10" spans="1:13" s="262" customFormat="1" ht="13.95" hidden="1" customHeight="1" x14ac:dyDescent="0.2">
      <c r="B10" s="972"/>
      <c r="C10" s="972"/>
      <c r="D10" s="972"/>
      <c r="E10" s="972"/>
      <c r="F10" s="972"/>
      <c r="G10" s="972"/>
      <c r="H10" s="972"/>
      <c r="I10" s="972"/>
      <c r="K10" s="679"/>
      <c r="L10" s="679"/>
      <c r="M10" s="679"/>
    </row>
    <row r="11" spans="1:13" s="262" customFormat="1" ht="13.95" hidden="1" customHeight="1" x14ac:dyDescent="0.2">
      <c r="B11" s="972"/>
      <c r="C11" s="972"/>
      <c r="D11" s="972"/>
      <c r="E11" s="972"/>
      <c r="F11" s="972"/>
      <c r="G11" s="972"/>
      <c r="H11" s="972"/>
      <c r="I11" s="972"/>
      <c r="K11" s="679"/>
      <c r="L11" s="679"/>
      <c r="M11" s="679"/>
    </row>
    <row r="12" spans="1:13" s="262" customFormat="1" ht="13.95" hidden="1" customHeight="1" x14ac:dyDescent="0.2">
      <c r="B12" s="972"/>
      <c r="C12" s="972"/>
      <c r="D12" s="972"/>
      <c r="E12" s="972"/>
      <c r="F12" s="972"/>
      <c r="G12" s="972"/>
      <c r="H12" s="972"/>
      <c r="I12" s="972"/>
      <c r="K12" s="679"/>
      <c r="L12" s="679"/>
      <c r="M12" s="679"/>
    </row>
    <row r="13" spans="1:13" s="262" customFormat="1" ht="13.95" hidden="1" customHeight="1" x14ac:dyDescent="0.2">
      <c r="B13" s="972"/>
      <c r="C13" s="972"/>
      <c r="D13" s="972"/>
      <c r="E13" s="972"/>
      <c r="F13" s="972"/>
      <c r="G13" s="972"/>
      <c r="H13" s="972"/>
      <c r="I13" s="972"/>
      <c r="K13" s="679"/>
      <c r="L13" s="679"/>
      <c r="M13" s="679"/>
    </row>
    <row r="14" spans="1:13" s="262" customFormat="1" ht="13.95" hidden="1" customHeight="1" x14ac:dyDescent="0.2">
      <c r="B14" s="972"/>
      <c r="C14" s="972"/>
      <c r="D14" s="972"/>
      <c r="E14" s="972"/>
      <c r="F14" s="972"/>
      <c r="G14" s="972"/>
      <c r="H14" s="972"/>
      <c r="I14" s="972"/>
      <c r="K14" s="679"/>
      <c r="L14" s="679"/>
      <c r="M14" s="679"/>
    </row>
    <row r="15" spans="1:13" s="262" customFormat="1" ht="13.95" hidden="1" customHeight="1" x14ac:dyDescent="0.2">
      <c r="B15" s="972"/>
      <c r="C15" s="972"/>
      <c r="D15" s="972"/>
      <c r="E15" s="972"/>
      <c r="F15" s="972"/>
      <c r="G15" s="972"/>
      <c r="H15" s="972"/>
      <c r="I15" s="972"/>
      <c r="K15" s="679"/>
      <c r="L15" s="679"/>
      <c r="M15" s="679"/>
    </row>
    <row r="16" spans="1:13" s="262" customFormat="1" ht="34.200000000000003" customHeight="1" x14ac:dyDescent="0.2">
      <c r="B16" s="910" t="s">
        <v>1162</v>
      </c>
      <c r="C16" s="910"/>
      <c r="D16" s="910"/>
      <c r="E16" s="910"/>
      <c r="F16" s="910"/>
      <c r="G16" s="910"/>
      <c r="H16" s="910"/>
      <c r="I16" s="910"/>
      <c r="K16" s="679"/>
      <c r="L16" s="679"/>
      <c r="M16" s="679"/>
    </row>
    <row r="17" spans="1:13" s="262" customFormat="1" ht="13.95" customHeight="1" x14ac:dyDescent="0.2">
      <c r="B17" s="910" t="s">
        <v>1132</v>
      </c>
      <c r="C17" s="910"/>
      <c r="D17" s="910"/>
      <c r="E17" s="910"/>
      <c r="F17" s="910"/>
      <c r="G17" s="910"/>
      <c r="H17" s="910"/>
      <c r="I17" s="910"/>
      <c r="K17" s="679"/>
      <c r="L17" s="679"/>
      <c r="M17" s="679"/>
    </row>
    <row r="18" spans="1:13" s="262" customFormat="1" ht="13.95" customHeight="1" x14ac:dyDescent="0.2">
      <c r="B18" s="910"/>
      <c r="C18" s="910"/>
      <c r="D18" s="910"/>
      <c r="E18" s="910"/>
      <c r="F18" s="910"/>
      <c r="G18" s="910"/>
      <c r="H18" s="910"/>
      <c r="I18" s="910"/>
      <c r="J18" s="65"/>
      <c r="K18" s="679"/>
      <c r="L18" s="679"/>
      <c r="M18" s="679"/>
    </row>
    <row r="19" spans="1:13" s="262" customFormat="1" ht="13.95" customHeight="1" x14ac:dyDescent="0.2">
      <c r="B19" s="910"/>
      <c r="C19" s="910"/>
      <c r="D19" s="910"/>
      <c r="E19" s="910"/>
      <c r="F19" s="910"/>
      <c r="G19" s="910"/>
      <c r="H19" s="910"/>
      <c r="I19" s="910"/>
      <c r="K19" s="971"/>
      <c r="L19" s="971"/>
      <c r="M19" s="679"/>
    </row>
    <row r="20" spans="1:13" s="262" customFormat="1" ht="7.2" customHeight="1" x14ac:dyDescent="0.2">
      <c r="B20" s="910"/>
      <c r="C20" s="910"/>
      <c r="D20" s="910"/>
      <c r="E20" s="910"/>
      <c r="F20" s="910"/>
      <c r="G20" s="910"/>
      <c r="H20" s="910"/>
      <c r="I20" s="910"/>
      <c r="J20" s="65"/>
    </row>
    <row r="21" spans="1:13" s="262" customFormat="1" ht="15.6" customHeight="1" x14ac:dyDescent="0.2">
      <c r="B21" s="910"/>
      <c r="C21" s="910"/>
      <c r="D21" s="910"/>
      <c r="E21" s="910"/>
      <c r="F21" s="910"/>
      <c r="G21" s="910"/>
      <c r="H21" s="910"/>
      <c r="I21" s="910"/>
      <c r="J21" s="65"/>
    </row>
    <row r="22" spans="1:13" s="262" customFormat="1" ht="13.95" hidden="1" customHeight="1" x14ac:dyDescent="0.2">
      <c r="B22" s="910"/>
      <c r="C22" s="910"/>
      <c r="D22" s="910"/>
      <c r="E22" s="910"/>
      <c r="F22" s="910"/>
      <c r="G22" s="910"/>
      <c r="H22" s="910"/>
      <c r="I22" s="910"/>
      <c r="J22" s="65"/>
    </row>
    <row r="23" spans="1:13" s="262" customFormat="1" ht="13.95" hidden="1" customHeight="1" x14ac:dyDescent="0.2">
      <c r="B23" s="910"/>
      <c r="C23" s="910"/>
      <c r="D23" s="910"/>
      <c r="E23" s="910"/>
      <c r="F23" s="910"/>
      <c r="G23" s="910"/>
      <c r="H23" s="910"/>
      <c r="I23" s="910"/>
      <c r="J23" s="65"/>
    </row>
    <row r="24" spans="1:13" s="262" customFormat="1" ht="13.95" hidden="1" customHeight="1" x14ac:dyDescent="0.2">
      <c r="B24" s="910"/>
      <c r="C24" s="910"/>
      <c r="D24" s="910"/>
      <c r="E24" s="910"/>
      <c r="F24" s="910"/>
      <c r="G24" s="910"/>
      <c r="H24" s="910"/>
      <c r="I24" s="910"/>
      <c r="J24" s="65"/>
    </row>
    <row r="25" spans="1:13" s="262" customFormat="1" ht="11.4" hidden="1" customHeight="1" x14ac:dyDescent="0.2">
      <c r="B25" s="910"/>
      <c r="C25" s="910"/>
      <c r="D25" s="910"/>
      <c r="E25" s="910"/>
      <c r="F25" s="910"/>
      <c r="G25" s="910"/>
      <c r="H25" s="910"/>
      <c r="I25" s="910"/>
      <c r="J25" s="65"/>
    </row>
    <row r="26" spans="1:13" s="262" customFormat="1" ht="13.95" hidden="1" customHeight="1" x14ac:dyDescent="0.2">
      <c r="B26" s="910"/>
      <c r="C26" s="910"/>
      <c r="D26" s="910"/>
      <c r="E26" s="910"/>
      <c r="F26" s="910"/>
      <c r="G26" s="910"/>
      <c r="H26" s="910"/>
      <c r="I26" s="910"/>
    </row>
    <row r="27" spans="1:13" s="597" customFormat="1" ht="44.4" customHeight="1" x14ac:dyDescent="0.2">
      <c r="B27" s="910" t="s">
        <v>1025</v>
      </c>
      <c r="C27" s="910"/>
      <c r="D27" s="910"/>
      <c r="E27" s="910"/>
      <c r="F27" s="910"/>
      <c r="G27" s="910"/>
      <c r="H27" s="910"/>
      <c r="I27" s="910"/>
    </row>
    <row r="28" spans="1:13" s="597" customFormat="1" ht="45" customHeight="1" x14ac:dyDescent="0.2">
      <c r="A28" s="676"/>
      <c r="B28" s="915" t="s">
        <v>1163</v>
      </c>
      <c r="C28" s="915"/>
      <c r="D28" s="915"/>
      <c r="E28" s="915"/>
      <c r="F28" s="915"/>
      <c r="G28" s="915"/>
      <c r="H28" s="915"/>
      <c r="I28" s="915"/>
      <c r="J28" s="676"/>
      <c r="K28" s="676"/>
    </row>
    <row r="29" spans="1:13" s="597" customFormat="1" ht="11.4" customHeight="1" x14ac:dyDescent="0.2">
      <c r="A29" s="676"/>
      <c r="B29" s="850"/>
      <c r="C29" s="850"/>
      <c r="D29" s="850"/>
      <c r="E29" s="850"/>
      <c r="F29" s="850"/>
      <c r="G29" s="850"/>
      <c r="H29" s="850"/>
      <c r="I29" s="850"/>
      <c r="J29" s="676"/>
      <c r="K29" s="676"/>
    </row>
    <row r="30" spans="1:13" s="597" customFormat="1" ht="11.4" customHeight="1" x14ac:dyDescent="0.2">
      <c r="A30" s="676"/>
      <c r="B30" s="859" t="s">
        <v>1202</v>
      </c>
      <c r="C30" s="850"/>
      <c r="D30" s="850"/>
      <c r="E30" s="850"/>
      <c r="F30" s="850"/>
      <c r="G30" s="850"/>
      <c r="H30" s="850"/>
      <c r="I30" s="850"/>
      <c r="J30" s="676"/>
      <c r="K30" s="676"/>
    </row>
    <row r="31" spans="1:13" s="597" customFormat="1" ht="11.4" customHeight="1" x14ac:dyDescent="0.2">
      <c r="A31" s="676"/>
      <c r="B31" s="859" t="s">
        <v>1172</v>
      </c>
      <c r="C31" s="850"/>
      <c r="D31" s="850"/>
      <c r="E31" s="850"/>
      <c r="F31" s="850"/>
      <c r="G31" s="850"/>
      <c r="H31" s="850"/>
      <c r="I31" s="850"/>
      <c r="J31" s="676"/>
      <c r="K31" s="676"/>
    </row>
    <row r="32" spans="1:13" s="597" customFormat="1" ht="11.4" customHeight="1" x14ac:dyDescent="0.2">
      <c r="A32" s="676"/>
      <c r="B32" s="859" t="s">
        <v>1199</v>
      </c>
      <c r="C32" s="850"/>
      <c r="D32" s="850"/>
      <c r="E32" s="850"/>
      <c r="F32" s="850"/>
      <c r="G32" s="850"/>
      <c r="H32" s="850"/>
      <c r="I32" s="850"/>
      <c r="J32" s="676"/>
      <c r="K32" s="676"/>
    </row>
    <row r="33" spans="1:11" s="597" customFormat="1" ht="11.4" customHeight="1" x14ac:dyDescent="0.2">
      <c r="A33" s="676"/>
      <c r="B33" s="859" t="s">
        <v>1200</v>
      </c>
      <c r="C33" s="850"/>
      <c r="D33" s="850"/>
      <c r="E33" s="850"/>
      <c r="F33" s="850"/>
      <c r="G33" s="850"/>
      <c r="H33" s="850"/>
      <c r="I33" s="850"/>
      <c r="J33" s="676"/>
      <c r="K33" s="676"/>
    </row>
    <row r="34" spans="1:11" s="597" customFormat="1" ht="11.4" customHeight="1" x14ac:dyDescent="0.2">
      <c r="A34" s="676"/>
      <c r="B34" s="859" t="s">
        <v>1201</v>
      </c>
      <c r="C34" s="850"/>
      <c r="D34" s="850"/>
      <c r="E34" s="850"/>
      <c r="F34" s="850"/>
      <c r="G34" s="850"/>
      <c r="H34" s="850"/>
      <c r="I34" s="850"/>
      <c r="J34" s="676"/>
      <c r="K34" s="676"/>
    </row>
    <row r="35" spans="1:11" s="597" customFormat="1" ht="11.4" customHeight="1" x14ac:dyDescent="0.2">
      <c r="A35" s="676"/>
      <c r="B35" s="859" t="s">
        <v>1206</v>
      </c>
      <c r="C35" s="850"/>
      <c r="D35" s="850"/>
      <c r="E35" s="850"/>
      <c r="F35" s="850"/>
      <c r="G35" s="850"/>
      <c r="H35" s="850"/>
      <c r="I35" s="850"/>
      <c r="J35" s="676"/>
      <c r="K35" s="676"/>
    </row>
    <row r="36" spans="1:11" s="597" customFormat="1" ht="11.4" customHeight="1" x14ac:dyDescent="0.2">
      <c r="A36" s="676"/>
      <c r="B36" s="859" t="s">
        <v>1204</v>
      </c>
      <c r="C36" s="850"/>
      <c r="D36" s="850"/>
      <c r="E36" s="850"/>
      <c r="F36" s="850"/>
      <c r="G36" s="850"/>
      <c r="H36" s="850"/>
      <c r="I36" s="850"/>
      <c r="J36" s="676"/>
      <c r="K36" s="676"/>
    </row>
    <row r="37" spans="1:11" s="597" customFormat="1" ht="11.4" customHeight="1" x14ac:dyDescent="0.2">
      <c r="A37" s="676"/>
      <c r="B37" s="859" t="s">
        <v>1205</v>
      </c>
      <c r="C37" s="850"/>
      <c r="D37" s="850"/>
      <c r="E37" s="850"/>
      <c r="F37" s="850"/>
      <c r="G37" s="850"/>
      <c r="H37" s="850"/>
      <c r="I37" s="850"/>
      <c r="J37" s="676"/>
      <c r="K37" s="676"/>
    </row>
    <row r="38" spans="1:11" s="597" customFormat="1" ht="11.4" customHeight="1" x14ac:dyDescent="0.2">
      <c r="A38" s="676"/>
      <c r="B38" s="859" t="s">
        <v>1203</v>
      </c>
      <c r="C38" s="850"/>
      <c r="D38" s="850"/>
      <c r="E38" s="850"/>
      <c r="F38" s="850"/>
      <c r="G38" s="850"/>
      <c r="H38" s="850"/>
      <c r="I38" s="850"/>
      <c r="J38" s="676"/>
      <c r="K38" s="676"/>
    </row>
    <row r="39" spans="1:11" s="597" customFormat="1" ht="11.4" customHeight="1" x14ac:dyDescent="0.2">
      <c r="B39" s="859" t="s">
        <v>139</v>
      </c>
      <c r="C39" s="632"/>
      <c r="D39" s="632"/>
      <c r="E39" s="632"/>
      <c r="F39" s="632"/>
      <c r="G39" s="632"/>
      <c r="H39" s="632"/>
      <c r="I39" s="632"/>
    </row>
    <row r="40" spans="1:11" s="597" customFormat="1" ht="11.4" customHeight="1" x14ac:dyDescent="0.2">
      <c r="B40" s="859" t="s">
        <v>174</v>
      </c>
      <c r="C40" s="632"/>
      <c r="D40" s="632"/>
      <c r="E40" s="632"/>
      <c r="F40" s="632"/>
      <c r="G40" s="632"/>
      <c r="H40" s="632"/>
      <c r="I40" s="632"/>
    </row>
    <row r="41" spans="1:11" s="597" customFormat="1" ht="11.4" customHeight="1" x14ac:dyDescent="0.2">
      <c r="B41" s="859" t="s">
        <v>174</v>
      </c>
      <c r="C41" s="632"/>
      <c r="D41" s="632"/>
      <c r="E41" s="632"/>
      <c r="F41" s="632"/>
      <c r="G41" s="632"/>
      <c r="H41" s="632"/>
      <c r="I41" s="632"/>
    </row>
    <row r="42" spans="1:11" s="597" customFormat="1" ht="11.4" customHeight="1" x14ac:dyDescent="0.2">
      <c r="B42" s="859" t="s">
        <v>187</v>
      </c>
      <c r="C42" s="632"/>
      <c r="D42" s="632"/>
      <c r="E42" s="632"/>
      <c r="F42" s="632"/>
      <c r="G42" s="632"/>
      <c r="H42" s="632"/>
      <c r="I42" s="632"/>
    </row>
    <row r="43" spans="1:11" s="597" customFormat="1" ht="11.4" customHeight="1" x14ac:dyDescent="0.2">
      <c r="B43" s="859" t="s">
        <v>226</v>
      </c>
      <c r="C43" s="632"/>
      <c r="D43" s="632"/>
      <c r="E43" s="632"/>
      <c r="F43" s="632"/>
      <c r="G43" s="632"/>
      <c r="H43" s="632"/>
      <c r="I43" s="632"/>
    </row>
    <row r="44" spans="1:11" s="597" customFormat="1" ht="11.4" customHeight="1" x14ac:dyDescent="0.2">
      <c r="B44" s="859" t="s">
        <v>241</v>
      </c>
      <c r="C44" s="632"/>
      <c r="D44" s="632"/>
      <c r="E44" s="632"/>
      <c r="F44" s="632"/>
      <c r="G44" s="632"/>
      <c r="H44" s="632"/>
      <c r="I44" s="632"/>
    </row>
    <row r="45" spans="1:11" s="597" customFormat="1" ht="11.4" customHeight="1" x14ac:dyDescent="0.2">
      <c r="B45" s="849"/>
      <c r="C45" s="632"/>
      <c r="D45" s="632"/>
      <c r="E45" s="632"/>
      <c r="F45" s="632"/>
      <c r="G45" s="632"/>
      <c r="H45" s="632"/>
      <c r="I45" s="632"/>
    </row>
    <row r="46" spans="1:11" s="597" customFormat="1" ht="11.4" customHeight="1" x14ac:dyDescent="0.2">
      <c r="B46" s="860"/>
      <c r="C46" s="632"/>
      <c r="D46" s="632"/>
      <c r="E46" s="632"/>
      <c r="F46" s="632"/>
      <c r="G46" s="632"/>
      <c r="H46" s="632"/>
      <c r="I46" s="632"/>
    </row>
    <row r="47" spans="1:11" s="597" customFormat="1" ht="11.4" customHeight="1" x14ac:dyDescent="0.2">
      <c r="B47" s="849"/>
      <c r="C47" s="632"/>
      <c r="D47" s="632"/>
      <c r="E47" s="632"/>
      <c r="F47" s="632"/>
      <c r="G47" s="632"/>
      <c r="H47" s="632"/>
      <c r="I47" s="632"/>
    </row>
    <row r="48" spans="1:11" s="597" customFormat="1" ht="11.4" customHeight="1" x14ac:dyDescent="0.2">
      <c r="B48" s="849"/>
      <c r="C48" s="632"/>
      <c r="D48" s="632"/>
      <c r="E48" s="632"/>
      <c r="F48" s="632"/>
      <c r="G48" s="632"/>
      <c r="H48" s="632"/>
      <c r="I48" s="632"/>
    </row>
    <row r="49" spans="1:9" s="597" customFormat="1" ht="11.4" customHeight="1" x14ac:dyDescent="0.2">
      <c r="B49" s="849"/>
      <c r="C49" s="632"/>
      <c r="D49" s="632"/>
      <c r="E49" s="632"/>
      <c r="F49" s="632"/>
      <c r="G49" s="632"/>
      <c r="H49" s="632"/>
      <c r="I49" s="632"/>
    </row>
    <row r="50" spans="1:9" s="597" customFormat="1" ht="11.4" customHeight="1" x14ac:dyDescent="0.2">
      <c r="B50" s="849"/>
      <c r="C50" s="632"/>
      <c r="D50" s="632"/>
      <c r="E50" s="632"/>
      <c r="F50" s="632"/>
      <c r="G50" s="632"/>
      <c r="H50" s="632"/>
      <c r="I50" s="632"/>
    </row>
    <row r="51" spans="1:9" s="597" customFormat="1" ht="11.4" customHeight="1" x14ac:dyDescent="0.2">
      <c r="B51" s="849"/>
      <c r="C51" s="632"/>
      <c r="D51" s="632"/>
      <c r="E51" s="632"/>
      <c r="F51" s="632"/>
      <c r="G51" s="632"/>
      <c r="H51" s="632"/>
      <c r="I51" s="632"/>
    </row>
    <row r="52" spans="1:9" s="597" customFormat="1" ht="11.4" customHeight="1" x14ac:dyDescent="0.2">
      <c r="B52" s="849"/>
      <c r="C52" s="632"/>
      <c r="D52" s="632"/>
      <c r="E52" s="632"/>
      <c r="F52" s="632"/>
      <c r="G52" s="632"/>
      <c r="H52" s="632"/>
      <c r="I52" s="632"/>
    </row>
    <row r="53" spans="1:9" s="597" customFormat="1" ht="10.95" customHeight="1" x14ac:dyDescent="0.2">
      <c r="B53" s="632"/>
      <c r="C53" s="632"/>
      <c r="D53" s="632"/>
      <c r="E53" s="632"/>
      <c r="F53" s="632"/>
      <c r="G53" s="632"/>
      <c r="H53" s="632"/>
      <c r="I53" s="632"/>
    </row>
    <row r="54" spans="1:9" s="597" customFormat="1" ht="11.4" customHeight="1" x14ac:dyDescent="0.2">
      <c r="B54" s="632"/>
      <c r="C54" s="632"/>
      <c r="D54" s="632"/>
      <c r="E54" s="632"/>
      <c r="F54" s="632"/>
      <c r="G54" s="632"/>
      <c r="H54" s="632"/>
      <c r="I54" s="632"/>
    </row>
    <row r="55" spans="1:9" s="597" customFormat="1" ht="11.4" customHeight="1" x14ac:dyDescent="0.2">
      <c r="B55" s="632"/>
      <c r="C55" s="632"/>
      <c r="D55" s="632"/>
      <c r="E55" s="632"/>
      <c r="F55" s="632"/>
      <c r="G55" s="632"/>
      <c r="H55" s="632"/>
      <c r="I55" s="632"/>
    </row>
    <row r="56" spans="1:9" s="597" customFormat="1" ht="11.4" customHeight="1" x14ac:dyDescent="0.2">
      <c r="B56" s="632"/>
      <c r="C56" s="632"/>
      <c r="D56" s="632"/>
      <c r="E56" s="632"/>
      <c r="F56" s="632"/>
      <c r="G56" s="632"/>
      <c r="H56" s="632"/>
      <c r="I56" s="632"/>
    </row>
    <row r="57" spans="1:9" s="597" customFormat="1" ht="11.4" customHeight="1" x14ac:dyDescent="0.2">
      <c r="B57" s="632"/>
      <c r="C57" s="632"/>
      <c r="D57" s="632"/>
      <c r="E57" s="632"/>
      <c r="F57" s="632"/>
      <c r="G57" s="632"/>
      <c r="H57" s="632"/>
      <c r="I57" s="632"/>
    </row>
    <row r="58" spans="1:9" s="597" customFormat="1" ht="11.4" customHeight="1" x14ac:dyDescent="0.2">
      <c r="B58" s="632"/>
      <c r="C58" s="632"/>
      <c r="D58" s="632"/>
      <c r="E58" s="632"/>
      <c r="F58" s="632"/>
      <c r="G58" s="632"/>
      <c r="H58" s="632"/>
      <c r="I58" s="632"/>
    </row>
    <row r="59" spans="1:9" s="597" customFormat="1" ht="11.4" customHeight="1" x14ac:dyDescent="0.2">
      <c r="B59" s="632"/>
      <c r="C59" s="632"/>
      <c r="D59" s="632"/>
      <c r="E59" s="632"/>
      <c r="F59" s="632"/>
      <c r="G59" s="632"/>
      <c r="H59" s="632"/>
      <c r="I59" s="632"/>
    </row>
    <row r="60" spans="1:9" s="262" customFormat="1" ht="11.4" customHeight="1" x14ac:dyDescent="0.2">
      <c r="C60" s="46"/>
    </row>
    <row r="61" spans="1:9" s="75" customFormat="1" ht="14.1" customHeight="1" x14ac:dyDescent="0.25">
      <c r="A61" s="52"/>
      <c r="B61" s="66"/>
      <c r="C61" s="23"/>
      <c r="D61" s="23"/>
      <c r="E61" s="23"/>
      <c r="F61" s="23"/>
      <c r="G61" s="23"/>
    </row>
    <row r="62" spans="1:9" s="75" customFormat="1" ht="14.1" customHeight="1" x14ac:dyDescent="0.2">
      <c r="A62" s="52"/>
      <c r="B62" s="950"/>
      <c r="C62" s="950"/>
      <c r="D62" s="950"/>
      <c r="E62" s="950"/>
      <c r="F62" s="950"/>
      <c r="G62" s="950"/>
    </row>
    <row r="63" spans="1:9" s="75" customFormat="1" ht="14.1" customHeight="1" x14ac:dyDescent="0.2">
      <c r="A63" s="52"/>
      <c r="B63" s="950"/>
      <c r="C63" s="950"/>
      <c r="D63" s="950"/>
      <c r="E63" s="950"/>
      <c r="F63" s="950"/>
      <c r="G63" s="950"/>
    </row>
    <row r="64" spans="1:9" s="75" customFormat="1" ht="14.1" customHeight="1" x14ac:dyDescent="0.2">
      <c r="A64" s="52"/>
      <c r="B64" s="950"/>
      <c r="C64" s="950"/>
      <c r="D64" s="950"/>
      <c r="E64" s="950"/>
      <c r="F64" s="950"/>
      <c r="G64" s="950"/>
    </row>
    <row r="65" spans="1:8" s="75" customFormat="1" ht="14.1" customHeight="1" x14ac:dyDescent="0.2">
      <c r="A65" s="52"/>
      <c r="B65" s="93"/>
      <c r="C65" s="93"/>
      <c r="D65" s="93"/>
      <c r="E65" s="93"/>
      <c r="F65" s="93"/>
      <c r="G65" s="93"/>
    </row>
    <row r="66" spans="1:8" s="125" customFormat="1" ht="14.1" customHeight="1" x14ac:dyDescent="0.2">
      <c r="A66" s="52"/>
    </row>
    <row r="67" spans="1:8" s="125" customFormat="1" ht="14.1" customHeight="1" x14ac:dyDescent="0.25">
      <c r="A67" s="52"/>
      <c r="B67" s="66"/>
      <c r="C67" s="23"/>
      <c r="D67" s="23"/>
      <c r="E67" s="23"/>
      <c r="F67" s="23"/>
      <c r="G67" s="23"/>
    </row>
    <row r="68" spans="1:8" s="125" customFormat="1" ht="14.1" customHeight="1" x14ac:dyDescent="0.2">
      <c r="A68" s="52"/>
      <c r="B68" s="962"/>
      <c r="C68" s="962"/>
      <c r="D68" s="962"/>
      <c r="E68" s="962"/>
      <c r="F68" s="962"/>
      <c r="G68" s="962"/>
      <c r="H68" s="202"/>
    </row>
    <row r="69" spans="1:8" s="125" customFormat="1" ht="14.1" customHeight="1" x14ac:dyDescent="0.2">
      <c r="A69" s="52"/>
      <c r="B69" s="962"/>
      <c r="C69" s="962"/>
      <c r="D69" s="962"/>
      <c r="E69" s="962"/>
      <c r="F69" s="962"/>
      <c r="G69" s="962"/>
    </row>
    <row r="70" spans="1:8" s="125" customFormat="1" ht="14.1" customHeight="1" x14ac:dyDescent="0.2">
      <c r="A70" s="52"/>
      <c r="B70" s="130"/>
      <c r="C70" s="130"/>
      <c r="D70" s="130"/>
      <c r="E70" s="130"/>
      <c r="F70" s="130"/>
      <c r="G70" s="130"/>
    </row>
    <row r="71" spans="1:8" s="75" customFormat="1" ht="14.1" customHeight="1" x14ac:dyDescent="0.2">
      <c r="A71" s="52"/>
      <c r="C71" s="23"/>
      <c r="D71" s="23"/>
      <c r="E71" s="23"/>
      <c r="F71" s="23"/>
      <c r="G71" s="23"/>
    </row>
    <row r="72" spans="1:8" s="25" customFormat="1" ht="14.1" customHeight="1" x14ac:dyDescent="0.25">
      <c r="A72" s="52"/>
      <c r="B72" s="66"/>
      <c r="C72" s="23"/>
      <c r="D72" s="23"/>
      <c r="E72" s="23"/>
      <c r="F72" s="23"/>
      <c r="G72" s="23"/>
    </row>
    <row r="73" spans="1:8" s="25" customFormat="1" ht="14.1" customHeight="1" x14ac:dyDescent="0.2">
      <c r="A73" s="52"/>
      <c r="B73" s="950"/>
      <c r="C73" s="950"/>
      <c r="D73" s="950"/>
      <c r="E73" s="950"/>
      <c r="F73" s="950"/>
      <c r="G73" s="950"/>
    </row>
    <row r="74" spans="1:8" s="25" customFormat="1" ht="14.1" customHeight="1" x14ac:dyDescent="0.2">
      <c r="A74" s="52"/>
      <c r="B74" s="950"/>
      <c r="C74" s="950"/>
      <c r="D74" s="950"/>
      <c r="E74" s="950"/>
      <c r="F74" s="950"/>
      <c r="G74" s="950"/>
    </row>
    <row r="75" spans="1:8" s="25" customFormat="1" ht="14.1" customHeight="1" x14ac:dyDescent="0.2">
      <c r="A75" s="52"/>
      <c r="B75" s="950"/>
      <c r="C75" s="950"/>
      <c r="D75" s="950"/>
      <c r="E75" s="950"/>
      <c r="F75" s="950"/>
      <c r="G75" s="950"/>
    </row>
    <row r="76" spans="1:8" s="25" customFormat="1" ht="14.1" customHeight="1" x14ac:dyDescent="0.2">
      <c r="A76" s="52"/>
      <c r="B76" s="950"/>
      <c r="C76" s="950"/>
      <c r="D76" s="950"/>
      <c r="E76" s="950"/>
      <c r="F76" s="950"/>
      <c r="G76" s="950"/>
    </row>
    <row r="77" spans="1:8" s="25" customFormat="1" ht="14.1" customHeight="1" x14ac:dyDescent="0.2">
      <c r="A77" s="52"/>
      <c r="B77" s="950"/>
      <c r="C77" s="950"/>
      <c r="D77" s="950"/>
      <c r="E77" s="950"/>
      <c r="F77" s="950"/>
      <c r="G77" s="950"/>
    </row>
    <row r="78" spans="1:8" s="25" customFormat="1" ht="14.1" customHeight="1" x14ac:dyDescent="0.2">
      <c r="A78" s="52"/>
      <c r="B78" s="950"/>
      <c r="C78" s="950"/>
      <c r="D78" s="950"/>
      <c r="E78" s="950"/>
      <c r="F78" s="950"/>
      <c r="G78" s="950"/>
    </row>
    <row r="79" spans="1:8" s="25" customFormat="1" ht="14.1" customHeight="1" x14ac:dyDescent="0.2">
      <c r="A79" s="52"/>
      <c r="B79" s="950"/>
      <c r="C79" s="950"/>
      <c r="D79" s="950"/>
      <c r="E79" s="950"/>
      <c r="F79" s="950"/>
      <c r="G79" s="950"/>
    </row>
    <row r="80" spans="1:8" s="25" customFormat="1" ht="14.1" customHeight="1" x14ac:dyDescent="0.2">
      <c r="A80" s="52"/>
    </row>
    <row r="81" spans="1:8" s="25" customFormat="1" ht="14.1" customHeight="1" x14ac:dyDescent="0.25">
      <c r="A81" s="52"/>
      <c r="B81" s="129"/>
    </row>
    <row r="82" spans="1:8" s="25" customFormat="1" ht="14.1" customHeight="1" x14ac:dyDescent="0.2">
      <c r="A82" s="52"/>
      <c r="B82" s="914"/>
      <c r="C82" s="914"/>
      <c r="D82" s="914"/>
      <c r="E82" s="914"/>
      <c r="F82" s="914"/>
      <c r="G82" s="914"/>
      <c r="H82" s="202"/>
    </row>
    <row r="83" spans="1:8" s="25" customFormat="1" ht="14.1" customHeight="1" x14ac:dyDescent="0.2">
      <c r="A83" s="52"/>
      <c r="B83" s="914"/>
      <c r="C83" s="914"/>
      <c r="D83" s="914"/>
      <c r="E83" s="914"/>
      <c r="F83" s="914"/>
      <c r="G83" s="914"/>
    </row>
    <row r="84" spans="1:8" s="188" customFormat="1" ht="14.1" customHeight="1" x14ac:dyDescent="0.2">
      <c r="A84" s="52"/>
      <c r="B84" s="189"/>
      <c r="C84" s="189"/>
      <c r="D84" s="189"/>
      <c r="E84" s="189"/>
      <c r="F84" s="189"/>
      <c r="G84" s="189"/>
    </row>
    <row r="85" spans="1:8" s="25" customFormat="1" ht="14.1" customHeight="1" x14ac:dyDescent="0.2">
      <c r="A85" s="52"/>
    </row>
    <row r="86" spans="1:8" s="25" customFormat="1" ht="14.1" customHeight="1" x14ac:dyDescent="0.2">
      <c r="A86" s="52"/>
    </row>
    <row r="87" spans="1:8" ht="13.95" customHeight="1" x14ac:dyDescent="0.3"/>
    <row r="88" spans="1:8" ht="13.95" customHeight="1" x14ac:dyDescent="0.3"/>
    <row r="89" spans="1:8" ht="13.95" customHeight="1" x14ac:dyDescent="0.3"/>
    <row r="90" spans="1:8" ht="13.95" customHeight="1" x14ac:dyDescent="0.3"/>
    <row r="91" spans="1:8" ht="13.95" customHeight="1" x14ac:dyDescent="0.3"/>
    <row r="92" spans="1:8" ht="13.95" customHeight="1" x14ac:dyDescent="0.3"/>
    <row r="93" spans="1:8" ht="13.95" customHeight="1" x14ac:dyDescent="0.3"/>
    <row r="94" spans="1:8" ht="13.95" customHeight="1" x14ac:dyDescent="0.3"/>
    <row r="95" spans="1:8" ht="13.95" customHeight="1" x14ac:dyDescent="0.3"/>
    <row r="96" spans="1:8" ht="13.95" customHeight="1" x14ac:dyDescent="0.3"/>
    <row r="97" ht="13.95" customHeight="1" x14ac:dyDescent="0.3"/>
    <row r="98" ht="13.95" customHeight="1" x14ac:dyDescent="0.3"/>
    <row r="99" ht="13.95" customHeight="1" x14ac:dyDescent="0.3"/>
    <row r="100" ht="13.95" customHeight="1" x14ac:dyDescent="0.3"/>
    <row r="101" ht="13.95" customHeight="1" x14ac:dyDescent="0.3"/>
    <row r="102" ht="13.95" customHeight="1" x14ac:dyDescent="0.3"/>
    <row r="103" ht="13.95" customHeight="1" x14ac:dyDescent="0.3"/>
    <row r="104" ht="13.95" customHeight="1" x14ac:dyDescent="0.3"/>
    <row r="105" ht="13.95" customHeight="1" x14ac:dyDescent="0.3"/>
    <row r="106" ht="13.95" customHeight="1" x14ac:dyDescent="0.3"/>
    <row r="107" ht="13.95" customHeight="1" x14ac:dyDescent="0.3"/>
    <row r="108" ht="13.95" customHeight="1" x14ac:dyDescent="0.3"/>
    <row r="109" ht="13.95" customHeight="1" x14ac:dyDescent="0.3"/>
    <row r="110" ht="13.95" customHeight="1" x14ac:dyDescent="0.3"/>
    <row r="111" ht="13.95" customHeight="1" x14ac:dyDescent="0.3"/>
    <row r="112" ht="13.95" customHeight="1" x14ac:dyDescent="0.3"/>
    <row r="113" ht="13.95" customHeight="1" x14ac:dyDescent="0.3"/>
    <row r="114" ht="13.95" customHeight="1" x14ac:dyDescent="0.3"/>
    <row r="115" ht="13.95" customHeight="1" x14ac:dyDescent="0.3"/>
    <row r="116" ht="13.95" customHeight="1" x14ac:dyDescent="0.3"/>
    <row r="117" ht="13.95" customHeight="1" x14ac:dyDescent="0.3"/>
    <row r="118" ht="13.95" customHeight="1" x14ac:dyDescent="0.3"/>
    <row r="119" ht="13.95" customHeight="1" x14ac:dyDescent="0.3"/>
    <row r="120" ht="13.95" customHeight="1" x14ac:dyDescent="0.3"/>
    <row r="121" ht="13.95" customHeight="1" x14ac:dyDescent="0.3"/>
    <row r="122" ht="13.95" customHeight="1" x14ac:dyDescent="0.3"/>
    <row r="123" ht="13.95" customHeight="1" x14ac:dyDescent="0.3"/>
    <row r="124" ht="13.95" customHeight="1" x14ac:dyDescent="0.3"/>
    <row r="125" ht="13.95" customHeight="1" x14ac:dyDescent="0.3"/>
    <row r="126" ht="13.95" customHeight="1" x14ac:dyDescent="0.3"/>
    <row r="127" ht="13.95" customHeight="1" x14ac:dyDescent="0.3"/>
    <row r="128" ht="13.95" customHeight="1" x14ac:dyDescent="0.3"/>
    <row r="129" ht="13.95" customHeight="1" x14ac:dyDescent="0.3"/>
    <row r="130" ht="13.95" customHeight="1" x14ac:dyDescent="0.3"/>
    <row r="131" ht="13.95" customHeight="1" x14ac:dyDescent="0.3"/>
    <row r="132" ht="13.95" customHeight="1" x14ac:dyDescent="0.3"/>
    <row r="133" ht="13.95" customHeight="1" x14ac:dyDescent="0.3"/>
    <row r="134" ht="13.95" customHeight="1" x14ac:dyDescent="0.3"/>
    <row r="135" ht="13.95" customHeight="1" x14ac:dyDescent="0.3"/>
    <row r="136" ht="13.95" customHeight="1" x14ac:dyDescent="0.3"/>
    <row r="137" ht="13.95" customHeight="1" x14ac:dyDescent="0.3"/>
    <row r="138" ht="13.95" customHeight="1" x14ac:dyDescent="0.3"/>
    <row r="139" ht="13.95" customHeight="1" x14ac:dyDescent="0.3"/>
    <row r="140" ht="13.95" customHeight="1" x14ac:dyDescent="0.3"/>
    <row r="141" ht="13.95" customHeight="1" x14ac:dyDescent="0.3"/>
    <row r="142" ht="13.95" customHeight="1" x14ac:dyDescent="0.3"/>
    <row r="143" ht="13.95" customHeight="1" x14ac:dyDescent="0.3"/>
    <row r="144" ht="13.95" customHeight="1" x14ac:dyDescent="0.3"/>
    <row r="145" ht="13.95" customHeight="1" x14ac:dyDescent="0.3"/>
    <row r="146" ht="13.95" customHeight="1" x14ac:dyDescent="0.3"/>
    <row r="147" ht="13.95" customHeight="1" x14ac:dyDescent="0.3"/>
    <row r="148" ht="13.95" customHeight="1" x14ac:dyDescent="0.3"/>
    <row r="149" ht="13.95" customHeight="1" x14ac:dyDescent="0.3"/>
    <row r="150" ht="13.95" customHeight="1" x14ac:dyDescent="0.3"/>
    <row r="151" ht="13.95" customHeight="1" x14ac:dyDescent="0.3"/>
    <row r="152" ht="13.95" customHeight="1" x14ac:dyDescent="0.3"/>
    <row r="153" ht="13.95" customHeight="1" x14ac:dyDescent="0.3"/>
    <row r="154" ht="13.95" customHeight="1" x14ac:dyDescent="0.3"/>
    <row r="155" ht="13.95" customHeight="1" x14ac:dyDescent="0.3"/>
    <row r="156" ht="13.95" customHeight="1" x14ac:dyDescent="0.3"/>
    <row r="157" ht="13.95" customHeight="1" x14ac:dyDescent="0.3"/>
    <row r="158" ht="13.95" customHeight="1" x14ac:dyDescent="0.3"/>
    <row r="159" ht="13.95" customHeight="1" x14ac:dyDescent="0.3"/>
    <row r="160" ht="13.95" customHeight="1" x14ac:dyDescent="0.3"/>
    <row r="161" ht="13.95" customHeight="1" x14ac:dyDescent="0.3"/>
    <row r="162" ht="13.95" customHeight="1" x14ac:dyDescent="0.3"/>
    <row r="163" ht="13.95" customHeight="1" x14ac:dyDescent="0.3"/>
    <row r="164" ht="13.95" customHeight="1" x14ac:dyDescent="0.3"/>
    <row r="165" ht="13.95" customHeight="1" x14ac:dyDescent="0.3"/>
    <row r="166" ht="13.95" customHeight="1" x14ac:dyDescent="0.3"/>
    <row r="167" ht="13.95" customHeight="1" x14ac:dyDescent="0.3"/>
    <row r="168" ht="13.95" customHeight="1" x14ac:dyDescent="0.3"/>
    <row r="169" ht="13.95" customHeight="1" x14ac:dyDescent="0.3"/>
    <row r="170" ht="13.95" customHeight="1" x14ac:dyDescent="0.3"/>
    <row r="171" ht="13.95" customHeight="1" x14ac:dyDescent="0.3"/>
    <row r="172" ht="13.95" customHeight="1" x14ac:dyDescent="0.3"/>
    <row r="173" ht="13.95" customHeight="1" x14ac:dyDescent="0.3"/>
    <row r="174" ht="13.95" customHeight="1" x14ac:dyDescent="0.3"/>
    <row r="175" ht="13.95" customHeight="1" x14ac:dyDescent="0.3"/>
    <row r="176" ht="13.95" customHeight="1" x14ac:dyDescent="0.3"/>
    <row r="177" ht="13.95" customHeight="1" x14ac:dyDescent="0.3"/>
    <row r="178" ht="13.95" customHeight="1" x14ac:dyDescent="0.3"/>
    <row r="179" ht="13.95" customHeight="1" x14ac:dyDescent="0.3"/>
    <row r="180" ht="13.95" customHeight="1" x14ac:dyDescent="0.3"/>
    <row r="181" ht="13.95" customHeight="1" x14ac:dyDescent="0.3"/>
    <row r="182" ht="13.95" customHeight="1" x14ac:dyDescent="0.3"/>
    <row r="183" ht="13.95" customHeight="1" x14ac:dyDescent="0.3"/>
    <row r="184" ht="13.95" customHeight="1" x14ac:dyDescent="0.3"/>
    <row r="185" ht="13.95" customHeight="1" x14ac:dyDescent="0.3"/>
    <row r="186" ht="13.95" customHeight="1" x14ac:dyDescent="0.3"/>
    <row r="187" ht="13.95" customHeight="1" x14ac:dyDescent="0.3"/>
    <row r="188" ht="13.95" customHeight="1" x14ac:dyDescent="0.3"/>
    <row r="189" ht="13.95" customHeight="1" x14ac:dyDescent="0.3"/>
    <row r="190" ht="13.95" customHeight="1" x14ac:dyDescent="0.3"/>
    <row r="191" ht="13.95" customHeight="1" x14ac:dyDescent="0.3"/>
    <row r="192" ht="13.95" customHeight="1" x14ac:dyDescent="0.3"/>
    <row r="193" ht="13.95" customHeight="1" x14ac:dyDescent="0.3"/>
    <row r="194" ht="13.95" customHeight="1" x14ac:dyDescent="0.3"/>
    <row r="195" ht="13.95" customHeight="1" x14ac:dyDescent="0.3"/>
    <row r="196" ht="13.95" customHeight="1" x14ac:dyDescent="0.3"/>
    <row r="197" ht="13.95" customHeight="1" x14ac:dyDescent="0.3"/>
    <row r="198" ht="13.95" customHeight="1" x14ac:dyDescent="0.3"/>
    <row r="199" ht="13.95" customHeight="1" x14ac:dyDescent="0.3"/>
    <row r="200" ht="13.95" customHeight="1" x14ac:dyDescent="0.3"/>
    <row r="201" ht="13.95" customHeight="1" x14ac:dyDescent="0.3"/>
    <row r="202" ht="13.95" customHeight="1" x14ac:dyDescent="0.3"/>
    <row r="203" ht="13.95" customHeight="1" x14ac:dyDescent="0.3"/>
    <row r="204" ht="13.95" customHeight="1" x14ac:dyDescent="0.3"/>
    <row r="205" ht="13.95" customHeight="1" x14ac:dyDescent="0.3"/>
    <row r="206" ht="13.95" customHeight="1" x14ac:dyDescent="0.3"/>
    <row r="207" ht="13.95" customHeight="1" x14ac:dyDescent="0.3"/>
    <row r="208" ht="13.95" customHeight="1" x14ac:dyDescent="0.3"/>
    <row r="209" ht="13.95" customHeight="1" x14ac:dyDescent="0.3"/>
    <row r="210" ht="13.95" customHeight="1" x14ac:dyDescent="0.3"/>
    <row r="211" ht="13.95" customHeight="1" x14ac:dyDescent="0.3"/>
    <row r="212" ht="13.95" customHeight="1" x14ac:dyDescent="0.3"/>
    <row r="213" ht="13.95" customHeight="1" x14ac:dyDescent="0.3"/>
    <row r="214" ht="13.95" customHeight="1" x14ac:dyDescent="0.3"/>
    <row r="215" ht="13.95" customHeight="1" x14ac:dyDescent="0.3"/>
    <row r="216" ht="13.95" customHeight="1" x14ac:dyDescent="0.3"/>
    <row r="217" ht="13.95" customHeight="1" x14ac:dyDescent="0.3"/>
    <row r="218" ht="13.95" customHeight="1" x14ac:dyDescent="0.3"/>
    <row r="219" ht="13.95" customHeight="1" x14ac:dyDescent="0.3"/>
    <row r="220" ht="13.95" customHeight="1" x14ac:dyDescent="0.3"/>
    <row r="221" ht="13.95" customHeight="1" x14ac:dyDescent="0.3"/>
    <row r="222" ht="13.95" customHeight="1" x14ac:dyDescent="0.3"/>
    <row r="223" ht="13.95" customHeight="1" x14ac:dyDescent="0.3"/>
    <row r="224" ht="13.95" customHeight="1" x14ac:dyDescent="0.3"/>
    <row r="225" ht="13.95" customHeight="1" x14ac:dyDescent="0.3"/>
    <row r="226" ht="13.95" customHeight="1" x14ac:dyDescent="0.3"/>
    <row r="227" ht="13.95" customHeight="1" x14ac:dyDescent="0.3"/>
    <row r="228" ht="13.95" customHeight="1" x14ac:dyDescent="0.3"/>
    <row r="229" ht="13.95" customHeight="1" x14ac:dyDescent="0.3"/>
    <row r="230" ht="13.95" customHeight="1" x14ac:dyDescent="0.3"/>
    <row r="231" ht="13.95" customHeight="1" x14ac:dyDescent="0.3"/>
    <row r="232" ht="13.95" customHeight="1" x14ac:dyDescent="0.3"/>
    <row r="233" ht="13.95" customHeight="1" x14ac:dyDescent="0.3"/>
    <row r="234" ht="13.95" customHeight="1" x14ac:dyDescent="0.3"/>
    <row r="235" ht="13.95" customHeight="1" x14ac:dyDescent="0.3"/>
    <row r="236" ht="13.95" customHeight="1" x14ac:dyDescent="0.3"/>
    <row r="237" ht="13.95" customHeight="1" x14ac:dyDescent="0.3"/>
    <row r="238" ht="13.95" customHeight="1" x14ac:dyDescent="0.3"/>
    <row r="239" ht="13.95" customHeight="1" x14ac:dyDescent="0.3"/>
    <row r="240" ht="13.95" customHeight="1" x14ac:dyDescent="0.3"/>
    <row r="241" ht="13.95" customHeight="1" x14ac:dyDescent="0.3"/>
    <row r="242" ht="13.95" customHeight="1" x14ac:dyDescent="0.3"/>
    <row r="243" ht="13.95" customHeight="1" x14ac:dyDescent="0.3"/>
    <row r="244" ht="13.95" customHeight="1" x14ac:dyDescent="0.3"/>
    <row r="245" ht="13.95" customHeight="1" x14ac:dyDescent="0.3"/>
    <row r="246" ht="13.95" customHeight="1" x14ac:dyDescent="0.3"/>
    <row r="247" ht="13.95" customHeight="1" x14ac:dyDescent="0.3"/>
    <row r="248" ht="13.95" customHeight="1" x14ac:dyDescent="0.3"/>
    <row r="249" ht="13.95" customHeight="1" x14ac:dyDescent="0.3"/>
    <row r="250" ht="13.95" customHeight="1" x14ac:dyDescent="0.3"/>
    <row r="251" ht="13.95" customHeight="1" x14ac:dyDescent="0.3"/>
    <row r="252" ht="13.95" customHeight="1" x14ac:dyDescent="0.3"/>
    <row r="253" ht="13.95" customHeight="1" x14ac:dyDescent="0.3"/>
    <row r="254" ht="13.95" customHeight="1" x14ac:dyDescent="0.3"/>
    <row r="255" ht="13.95" customHeight="1" x14ac:dyDescent="0.3"/>
    <row r="256" ht="13.95" customHeight="1" x14ac:dyDescent="0.3"/>
    <row r="257" ht="13.95" customHeight="1" x14ac:dyDescent="0.3"/>
    <row r="258" ht="13.95" customHeight="1" x14ac:dyDescent="0.3"/>
    <row r="259" ht="13.95" customHeight="1" x14ac:dyDescent="0.3"/>
    <row r="260" ht="13.95" customHeight="1" x14ac:dyDescent="0.3"/>
    <row r="261" ht="13.95" customHeight="1" x14ac:dyDescent="0.3"/>
    <row r="262" ht="13.95" customHeight="1" x14ac:dyDescent="0.3"/>
    <row r="263" ht="13.95" customHeight="1" x14ac:dyDescent="0.3"/>
    <row r="264" ht="13.95" customHeight="1" x14ac:dyDescent="0.3"/>
    <row r="265" ht="13.95" customHeight="1" x14ac:dyDescent="0.3"/>
    <row r="266" ht="13.95" customHeight="1" x14ac:dyDescent="0.3"/>
    <row r="267" ht="13.95" customHeight="1" x14ac:dyDescent="0.3"/>
    <row r="268" ht="13.95" customHeight="1" x14ac:dyDescent="0.3"/>
    <row r="269" ht="13.95" customHeight="1" x14ac:dyDescent="0.3"/>
    <row r="270" ht="13.95" customHeight="1" x14ac:dyDescent="0.3"/>
    <row r="271" ht="13.95" customHeight="1" x14ac:dyDescent="0.3"/>
    <row r="272" ht="13.95" customHeight="1" x14ac:dyDescent="0.3"/>
    <row r="273" ht="13.95" customHeight="1" x14ac:dyDescent="0.3"/>
    <row r="274" ht="13.95" customHeight="1" x14ac:dyDescent="0.3"/>
    <row r="275" ht="13.95" customHeight="1" x14ac:dyDescent="0.3"/>
    <row r="276" ht="13.95" customHeight="1" x14ac:dyDescent="0.3"/>
    <row r="277" ht="13.95" customHeight="1" x14ac:dyDescent="0.3"/>
    <row r="278" ht="13.95" customHeight="1" x14ac:dyDescent="0.3"/>
    <row r="279" ht="13.95" customHeight="1" x14ac:dyDescent="0.3"/>
    <row r="280" ht="13.95" customHeight="1" x14ac:dyDescent="0.3"/>
    <row r="281" ht="13.95" customHeight="1" x14ac:dyDescent="0.3"/>
    <row r="282" ht="13.95" customHeight="1" x14ac:dyDescent="0.3"/>
    <row r="283" ht="13.95" customHeight="1" x14ac:dyDescent="0.3"/>
    <row r="284" ht="13.95" customHeight="1" x14ac:dyDescent="0.3"/>
    <row r="285" ht="13.95" customHeight="1" x14ac:dyDescent="0.3"/>
    <row r="286" ht="13.95" customHeight="1" x14ac:dyDescent="0.3"/>
    <row r="287" ht="13.95" customHeight="1" x14ac:dyDescent="0.3"/>
    <row r="288" ht="13.95" customHeight="1" x14ac:dyDescent="0.3"/>
    <row r="289" ht="13.95" customHeight="1" x14ac:dyDescent="0.3"/>
    <row r="290" ht="13.95" customHeight="1" x14ac:dyDescent="0.3"/>
    <row r="291" ht="13.95" customHeight="1" x14ac:dyDescent="0.3"/>
    <row r="292" ht="13.95" customHeight="1" x14ac:dyDescent="0.3"/>
    <row r="293" ht="13.95" customHeight="1" x14ac:dyDescent="0.3"/>
    <row r="294" ht="13.95" customHeight="1" x14ac:dyDescent="0.3"/>
    <row r="295" ht="13.95" customHeight="1" x14ac:dyDescent="0.3"/>
    <row r="296" ht="13.95" customHeight="1" x14ac:dyDescent="0.3"/>
    <row r="297" ht="13.95" customHeight="1" x14ac:dyDescent="0.3"/>
    <row r="298" ht="13.95" customHeight="1" x14ac:dyDescent="0.3"/>
    <row r="299" ht="13.95" customHeight="1" x14ac:dyDescent="0.3"/>
    <row r="300" ht="13.95" customHeight="1" x14ac:dyDescent="0.3"/>
    <row r="301" ht="13.95" customHeight="1" x14ac:dyDescent="0.3"/>
    <row r="302" ht="13.95" customHeight="1" x14ac:dyDescent="0.3"/>
    <row r="303" ht="13.95" customHeight="1" x14ac:dyDescent="0.3"/>
    <row r="304" ht="13.95" customHeight="1" x14ac:dyDescent="0.3"/>
    <row r="305" ht="13.95" customHeight="1" x14ac:dyDescent="0.3"/>
    <row r="306" ht="13.95" customHeight="1" x14ac:dyDescent="0.3"/>
    <row r="307" ht="13.95" customHeight="1" x14ac:dyDescent="0.3"/>
    <row r="308" ht="13.95" customHeight="1" x14ac:dyDescent="0.3"/>
    <row r="309" ht="13.95" customHeight="1" x14ac:dyDescent="0.3"/>
    <row r="310" ht="13.95" customHeight="1" x14ac:dyDescent="0.3"/>
    <row r="311" ht="13.95" customHeight="1" x14ac:dyDescent="0.3"/>
    <row r="312" ht="13.95" customHeight="1" x14ac:dyDescent="0.3"/>
    <row r="313" ht="13.95" customHeight="1" x14ac:dyDescent="0.3"/>
    <row r="314" ht="13.95" customHeight="1" x14ac:dyDescent="0.3"/>
    <row r="315" ht="13.95" customHeight="1" x14ac:dyDescent="0.3"/>
    <row r="316" ht="13.95" customHeight="1" x14ac:dyDescent="0.3"/>
    <row r="317" ht="13.95" customHeight="1" x14ac:dyDescent="0.3"/>
    <row r="318" ht="13.95" customHeight="1" x14ac:dyDescent="0.3"/>
    <row r="319" ht="13.95" customHeight="1" x14ac:dyDescent="0.3"/>
    <row r="320" ht="13.95" customHeight="1" x14ac:dyDescent="0.3"/>
    <row r="321" ht="13.95" customHeight="1" x14ac:dyDescent="0.3"/>
    <row r="322" ht="13.95" customHeight="1" x14ac:dyDescent="0.3"/>
    <row r="323" ht="13.95" customHeight="1" x14ac:dyDescent="0.3"/>
    <row r="324" ht="13.95" customHeight="1" x14ac:dyDescent="0.3"/>
  </sheetData>
  <mergeCells count="10">
    <mergeCell ref="K19:L19"/>
    <mergeCell ref="B2:I15"/>
    <mergeCell ref="B17:I26"/>
    <mergeCell ref="B82:G83"/>
    <mergeCell ref="B73:G79"/>
    <mergeCell ref="B62:G64"/>
    <mergeCell ref="B68:G69"/>
    <mergeCell ref="B16:I16"/>
    <mergeCell ref="B27:I27"/>
    <mergeCell ref="B28:I28"/>
  </mergeCells>
  <pageMargins left="0.70866141732283472" right="0.70866141732283472" top="0.74803149606299213" bottom="0.74803149606299213" header="0.31496062992125984" footer="0.31496062992125984"/>
  <pageSetup paperSize="9" orientation="portrait" r:id="rId1"/>
  <headerFooter>
    <oddHeader>&amp;C&amp;10Hull University Teaching Hospitals NHS Trust - Annual Accounts 2018/19</oddHeader>
    <oddFooter>&amp;C&amp;10Page &amp;P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topLeftCell="A28" zoomScaleNormal="100" workbookViewId="0">
      <selection activeCell="B50" sqref="B50"/>
    </sheetView>
  </sheetViews>
  <sheetFormatPr defaultRowHeight="13.95" customHeight="1" x14ac:dyDescent="0.3"/>
  <cols>
    <col min="1" max="1" width="1" style="323" customWidth="1"/>
    <col min="2" max="2" width="41" customWidth="1"/>
    <col min="3" max="3" width="8.6640625" customWidth="1"/>
    <col min="4" max="4" width="2.6640625" style="244" customWidth="1"/>
    <col min="5" max="5" width="8.6640625" customWidth="1"/>
    <col min="6" max="6" width="2.6640625" style="244" customWidth="1"/>
    <col min="7" max="7" width="8.6640625" style="626" customWidth="1"/>
    <col min="8" max="8" width="2.6640625" style="626" customWidth="1"/>
    <col min="9" max="9" width="8.6640625" style="626" customWidth="1"/>
    <col min="10" max="10" width="0.6640625" customWidth="1"/>
  </cols>
  <sheetData>
    <row r="1" spans="1:11" s="41" customFormat="1" ht="13.95" customHeight="1" x14ac:dyDescent="0.45">
      <c r="A1" s="323"/>
      <c r="B1" s="273"/>
      <c r="D1" s="244"/>
      <c r="F1" s="244"/>
      <c r="G1" s="626"/>
      <c r="H1" s="626"/>
      <c r="I1" s="626"/>
    </row>
    <row r="2" spans="1:11" ht="13.95" customHeight="1" x14ac:dyDescent="0.3">
      <c r="A2" s="842">
        <f>'RP, Transfers, EARP'!A1+1</f>
        <v>35</v>
      </c>
      <c r="B2" s="204" t="str">
        <f>"Note "&amp;A2&amp;" Better Payment Practice code"</f>
        <v>Note 35 Better Payment Practice code</v>
      </c>
      <c r="C2" s="25"/>
      <c r="D2" s="268"/>
      <c r="E2" s="25"/>
      <c r="F2" s="268"/>
      <c r="G2" s="602"/>
      <c r="H2" s="602"/>
      <c r="K2" s="41"/>
    </row>
    <row r="3" spans="1:11" ht="13.95" customHeight="1" x14ac:dyDescent="0.3">
      <c r="A3" s="842"/>
      <c r="C3" s="199" t="str">
        <f>CurrentFY</f>
        <v>2018/19</v>
      </c>
      <c r="D3" s="271"/>
      <c r="E3" s="199" t="str">
        <f>CurrentFY</f>
        <v>2018/19</v>
      </c>
      <c r="F3" s="271"/>
      <c r="G3" s="624" t="str">
        <f>ComparativeFY</f>
        <v>2017/18</v>
      </c>
      <c r="H3" s="624"/>
      <c r="I3" s="624" t="str">
        <f>ComparativeFY</f>
        <v>2017/18</v>
      </c>
      <c r="K3" s="41"/>
    </row>
    <row r="4" spans="1:11" ht="13.95" customHeight="1" x14ac:dyDescent="0.3">
      <c r="A4" s="842"/>
      <c r="C4" s="199" t="s">
        <v>349</v>
      </c>
      <c r="D4" s="271"/>
      <c r="E4" s="199" t="s">
        <v>283</v>
      </c>
      <c r="F4" s="271"/>
      <c r="G4" s="624" t="s">
        <v>349</v>
      </c>
      <c r="H4" s="624"/>
      <c r="I4" s="624" t="s">
        <v>283</v>
      </c>
      <c r="K4" s="41"/>
    </row>
    <row r="5" spans="1:11" ht="13.95" customHeight="1" x14ac:dyDescent="0.3">
      <c r="A5" s="842"/>
      <c r="B5" s="204" t="s">
        <v>619</v>
      </c>
      <c r="E5" s="25"/>
      <c r="F5" s="268"/>
      <c r="G5" s="602"/>
      <c r="H5" s="602"/>
    </row>
    <row r="6" spans="1:11" ht="13.95" customHeight="1" x14ac:dyDescent="0.3">
      <c r="A6" s="842"/>
      <c r="B6" s="203" t="s">
        <v>621</v>
      </c>
      <c r="C6" s="882">
        <v>110557</v>
      </c>
      <c r="D6" s="882"/>
      <c r="E6" s="891">
        <v>232853</v>
      </c>
      <c r="F6" s="880"/>
      <c r="G6" s="799">
        <v>114575</v>
      </c>
      <c r="H6" s="799"/>
      <c r="I6" s="653">
        <v>238562</v>
      </c>
    </row>
    <row r="7" spans="1:11" s="41" customFormat="1" ht="13.95" customHeight="1" x14ac:dyDescent="0.3">
      <c r="A7" s="842"/>
      <c r="B7" s="203" t="s">
        <v>622</v>
      </c>
      <c r="C7" s="882">
        <v>101212</v>
      </c>
      <c r="D7" s="882"/>
      <c r="E7" s="891">
        <v>196082</v>
      </c>
      <c r="F7" s="880"/>
      <c r="G7" s="799">
        <v>52620</v>
      </c>
      <c r="H7" s="799"/>
      <c r="I7" s="653">
        <v>113682</v>
      </c>
    </row>
    <row r="8" spans="1:11" ht="23.4" customHeight="1" thickBot="1" x14ac:dyDescent="0.35">
      <c r="A8" s="842"/>
      <c r="B8" s="752" t="s">
        <v>623</v>
      </c>
      <c r="C8" s="587">
        <f>IFERROR(C7/C6,0)</f>
        <v>0.91547346617581882</v>
      </c>
      <c r="D8" s="255"/>
      <c r="E8" s="587">
        <f>IFERROR(E7/E6,0)</f>
        <v>0.84208492052926098</v>
      </c>
      <c r="F8" s="255"/>
      <c r="G8" s="587">
        <f>IFERROR(G7/G6,0)</f>
        <v>0.45926249181758672</v>
      </c>
      <c r="H8" s="255"/>
      <c r="I8" s="587">
        <f>IFERROR(I7/I6,0)</f>
        <v>0.47653021017597103</v>
      </c>
    </row>
    <row r="9" spans="1:11" ht="5.4" customHeight="1" thickTop="1" x14ac:dyDescent="0.3">
      <c r="A9" s="842"/>
      <c r="C9" s="255"/>
      <c r="D9" s="255"/>
      <c r="E9" s="880"/>
      <c r="F9" s="255"/>
      <c r="G9" s="880"/>
      <c r="H9" s="255"/>
      <c r="I9" s="255"/>
    </row>
    <row r="10" spans="1:11" ht="13.95" customHeight="1" x14ac:dyDescent="0.3">
      <c r="A10" s="842"/>
      <c r="B10" s="204" t="s">
        <v>620</v>
      </c>
      <c r="C10" s="255"/>
      <c r="D10" s="255"/>
      <c r="E10" s="880"/>
      <c r="F10" s="255"/>
      <c r="G10" s="880"/>
      <c r="H10" s="255"/>
      <c r="I10" s="255"/>
    </row>
    <row r="11" spans="1:11" s="41" customFormat="1" ht="13.95" customHeight="1" x14ac:dyDescent="0.3">
      <c r="A11" s="842"/>
      <c r="B11" s="203" t="s">
        <v>624</v>
      </c>
      <c r="C11" s="882">
        <v>4149</v>
      </c>
      <c r="D11" s="882"/>
      <c r="E11" s="891">
        <v>32681</v>
      </c>
      <c r="F11" s="255"/>
      <c r="G11" s="799">
        <v>3244</v>
      </c>
      <c r="H11" s="653"/>
      <c r="I11" s="653">
        <v>11879</v>
      </c>
    </row>
    <row r="12" spans="1:11" ht="13.95" customHeight="1" x14ac:dyDescent="0.3">
      <c r="A12" s="842"/>
      <c r="B12" s="203" t="s">
        <v>625</v>
      </c>
      <c r="C12" s="891">
        <v>3009</v>
      </c>
      <c r="D12" s="882"/>
      <c r="E12" s="891">
        <v>15344</v>
      </c>
      <c r="F12" s="255"/>
      <c r="G12" s="799">
        <v>1086</v>
      </c>
      <c r="H12" s="653"/>
      <c r="I12" s="653">
        <v>2675</v>
      </c>
    </row>
    <row r="13" spans="1:11" s="41" customFormat="1" ht="13.95" customHeight="1" thickBot="1" x14ac:dyDescent="0.35">
      <c r="A13" s="842"/>
      <c r="B13" s="163" t="s">
        <v>626</v>
      </c>
      <c r="C13" s="587">
        <f>IFERROR(C12/C11,0)</f>
        <v>0.72523499638467104</v>
      </c>
      <c r="D13" s="255"/>
      <c r="E13" s="587">
        <f>IFERROR(E12/E11,0)</f>
        <v>0.46950827698050857</v>
      </c>
      <c r="F13" s="255"/>
      <c r="G13" s="587">
        <f>IFERROR(G12/G11,0)</f>
        <v>0.33477188655980272</v>
      </c>
      <c r="H13" s="255"/>
      <c r="I13" s="587">
        <f>IFERROR(I12/I11,0)</f>
        <v>0.22518730532873138</v>
      </c>
    </row>
    <row r="14" spans="1:11" s="672" customFormat="1" ht="13.95" customHeight="1" thickTop="1" x14ac:dyDescent="0.3">
      <c r="A14" s="842"/>
      <c r="B14" s="615"/>
      <c r="C14" s="753"/>
      <c r="E14" s="753"/>
      <c r="G14" s="754"/>
      <c r="H14" s="626"/>
      <c r="I14" s="754"/>
    </row>
    <row r="15" spans="1:11" s="41" customFormat="1" ht="7.5" customHeight="1" x14ac:dyDescent="0.3">
      <c r="A15" s="842"/>
      <c r="C15" s="679"/>
      <c r="D15" s="679"/>
      <c r="E15" s="679"/>
      <c r="F15" s="679"/>
      <c r="G15" s="639"/>
      <c r="H15" s="639"/>
      <c r="I15" s="755"/>
    </row>
    <row r="16" spans="1:11" s="41" customFormat="1" ht="13.95" customHeight="1" x14ac:dyDescent="0.3">
      <c r="A16" s="842"/>
      <c r="B16" s="911" t="s">
        <v>669</v>
      </c>
      <c r="C16" s="911"/>
      <c r="D16" s="911"/>
      <c r="E16" s="911"/>
      <c r="F16" s="911"/>
      <c r="G16" s="911"/>
      <c r="H16" s="911"/>
      <c r="I16" s="911"/>
    </row>
    <row r="17" spans="1:11" ht="11.4" customHeight="1" x14ac:dyDescent="0.3">
      <c r="A17" s="842"/>
      <c r="B17" s="911"/>
      <c r="C17" s="911"/>
      <c r="D17" s="911"/>
      <c r="E17" s="911"/>
      <c r="F17" s="911"/>
      <c r="G17" s="911"/>
      <c r="H17" s="911"/>
      <c r="I17" s="911"/>
      <c r="K17" s="41"/>
    </row>
    <row r="18" spans="1:11" s="672" customFormat="1" ht="13.95" customHeight="1" x14ac:dyDescent="0.3">
      <c r="A18" s="842"/>
      <c r="B18" s="686"/>
      <c r="C18" s="686"/>
      <c r="D18" s="686"/>
      <c r="E18" s="686"/>
      <c r="F18" s="686"/>
      <c r="G18" s="686"/>
      <c r="H18" s="686"/>
      <c r="I18" s="686"/>
    </row>
    <row r="19" spans="1:11" s="756" customFormat="1" ht="25.2" customHeight="1" x14ac:dyDescent="0.3">
      <c r="A19" s="843"/>
      <c r="B19" s="957" t="s">
        <v>1152</v>
      </c>
      <c r="C19" s="957"/>
      <c r="D19" s="957"/>
      <c r="E19" s="957"/>
      <c r="F19" s="957"/>
      <c r="G19" s="957"/>
      <c r="H19" s="957"/>
      <c r="I19" s="957"/>
    </row>
    <row r="20" spans="1:11" s="672" customFormat="1" ht="10.199999999999999" customHeight="1" x14ac:dyDescent="0.3">
      <c r="A20" s="842"/>
      <c r="B20" s="728"/>
      <c r="C20" s="728"/>
      <c r="D20" s="728"/>
      <c r="E20" s="728"/>
      <c r="F20" s="728"/>
      <c r="G20" s="728"/>
      <c r="H20" s="728"/>
      <c r="I20" s="728"/>
    </row>
    <row r="21" spans="1:11" s="244" customFormat="1" ht="13.95" customHeight="1" x14ac:dyDescent="0.3">
      <c r="A21" s="842">
        <f>ROUNDDOWN(A2,0)+1</f>
        <v>36</v>
      </c>
      <c r="B21" s="249" t="str">
        <f>"Note "&amp;A21&amp;" External financing"</f>
        <v>Note 36 External financing</v>
      </c>
      <c r="C21" s="250"/>
      <c r="D21" s="250"/>
      <c r="E21" s="250"/>
      <c r="F21" s="250"/>
      <c r="G21" s="535"/>
      <c r="H21" s="535"/>
      <c r="I21" s="535"/>
    </row>
    <row r="22" spans="1:11" s="244" customFormat="1" ht="13.95" customHeight="1" x14ac:dyDescent="0.3">
      <c r="A22" s="842"/>
      <c r="B22" s="930" t="s">
        <v>874</v>
      </c>
      <c r="C22" s="930"/>
      <c r="D22" s="930"/>
      <c r="E22" s="930"/>
      <c r="F22" s="930"/>
      <c r="G22" s="930"/>
      <c r="H22" s="930"/>
      <c r="I22" s="930"/>
    </row>
    <row r="23" spans="1:11" s="244" customFormat="1" ht="13.95" customHeight="1" x14ac:dyDescent="0.3">
      <c r="A23" s="842"/>
      <c r="B23" s="251"/>
      <c r="C23" s="248" t="s">
        <v>588</v>
      </c>
      <c r="D23" s="271"/>
      <c r="E23" s="248" t="s">
        <v>561</v>
      </c>
      <c r="F23" s="271"/>
      <c r="G23" s="535"/>
      <c r="H23" s="535"/>
      <c r="I23" s="535"/>
    </row>
    <row r="24" spans="1:11" s="244" customFormat="1" ht="13.95" customHeight="1" x14ac:dyDescent="0.3">
      <c r="A24" s="842"/>
      <c r="B24" s="251"/>
      <c r="C24" s="248" t="s">
        <v>283</v>
      </c>
      <c r="D24" s="271"/>
      <c r="E24" s="248" t="s">
        <v>283</v>
      </c>
      <c r="F24" s="271"/>
      <c r="G24" s="535"/>
      <c r="H24" s="535"/>
      <c r="I24" s="535"/>
    </row>
    <row r="25" spans="1:11" s="244" customFormat="1" ht="13.95" customHeight="1" x14ac:dyDescent="0.3">
      <c r="A25" s="842"/>
      <c r="B25" s="835" t="s">
        <v>676</v>
      </c>
      <c r="C25" s="874">
        <v>-1709</v>
      </c>
      <c r="D25" s="271"/>
      <c r="E25" s="631">
        <v>19021</v>
      </c>
      <c r="F25" s="271"/>
      <c r="G25" s="535"/>
      <c r="H25" s="535"/>
      <c r="I25" s="535"/>
    </row>
    <row r="26" spans="1:11" s="244" customFormat="1" ht="13.95" customHeight="1" x14ac:dyDescent="0.3">
      <c r="A26" s="842"/>
      <c r="B26" s="259"/>
      <c r="C26" s="248"/>
      <c r="D26" s="271"/>
      <c r="E26" s="248"/>
      <c r="F26" s="271"/>
      <c r="G26" s="535"/>
      <c r="H26" s="535"/>
      <c r="I26" s="535"/>
    </row>
    <row r="27" spans="1:11" s="244" customFormat="1" ht="13.95" hidden="1" customHeight="1" x14ac:dyDescent="0.3">
      <c r="A27" s="842"/>
      <c r="B27" s="259"/>
      <c r="C27" s="254"/>
      <c r="D27" s="271"/>
      <c r="E27" s="254"/>
      <c r="F27" s="271"/>
      <c r="G27" s="535"/>
      <c r="H27" s="535"/>
      <c r="I27" s="535"/>
    </row>
    <row r="28" spans="1:11" s="244" customFormat="1" ht="13.95" customHeight="1" x14ac:dyDescent="0.3">
      <c r="A28" s="842"/>
      <c r="B28" s="317" t="s">
        <v>677</v>
      </c>
      <c r="C28" s="619">
        <f>SUM(C25:C27)</f>
        <v>-1709</v>
      </c>
      <c r="E28" s="619">
        <f>SUM(E25:E27)</f>
        <v>19021</v>
      </c>
      <c r="G28" s="535"/>
      <c r="H28" s="535"/>
      <c r="I28" s="535"/>
    </row>
    <row r="29" spans="1:11" s="596" customFormat="1" ht="13.95" customHeight="1" x14ac:dyDescent="0.3">
      <c r="A29" s="842"/>
      <c r="B29" s="598"/>
      <c r="C29" s="608"/>
      <c r="E29" s="608"/>
      <c r="G29" s="535"/>
      <c r="H29" s="535"/>
      <c r="I29" s="535"/>
    </row>
    <row r="30" spans="1:11" s="244" customFormat="1" ht="13.95" customHeight="1" x14ac:dyDescent="0.3">
      <c r="A30" s="842"/>
      <c r="B30" s="835" t="s">
        <v>675</v>
      </c>
      <c r="C30" s="844">
        <v>1973</v>
      </c>
      <c r="E30" s="631">
        <v>19244</v>
      </c>
      <c r="F30" s="250"/>
      <c r="G30" s="535"/>
      <c r="H30" s="535"/>
      <c r="I30" s="535"/>
    </row>
    <row r="31" spans="1:11" s="244" customFormat="1" ht="13.95" customHeight="1" thickBot="1" x14ac:dyDescent="0.35">
      <c r="A31" s="842"/>
      <c r="B31" s="345" t="s">
        <v>1207</v>
      </c>
      <c r="C31" s="245">
        <f>C30-C28</f>
        <v>3682</v>
      </c>
      <c r="E31" s="245">
        <f>E30-E28</f>
        <v>223</v>
      </c>
      <c r="F31" s="112"/>
      <c r="G31" s="535"/>
      <c r="H31" s="535"/>
      <c r="I31" s="535"/>
    </row>
    <row r="32" spans="1:11" s="244" customFormat="1" ht="22.8" customHeight="1" thickTop="1" x14ac:dyDescent="0.3">
      <c r="A32" s="842"/>
      <c r="B32" s="208"/>
      <c r="C32" s="208"/>
      <c r="D32" s="250"/>
      <c r="E32" s="208"/>
      <c r="F32" s="250"/>
      <c r="G32" s="535"/>
      <c r="H32" s="535"/>
      <c r="I32" s="535"/>
    </row>
    <row r="33" spans="1:12" ht="13.95" customHeight="1" x14ac:dyDescent="0.3">
      <c r="A33" s="842">
        <f>ROUNDDOWN(A21,0)+1</f>
        <v>37</v>
      </c>
      <c r="B33" s="200" t="str">
        <f>"Note "&amp;A33&amp;" Capital Resource Limit"</f>
        <v>Note 37 Capital Resource Limit</v>
      </c>
      <c r="C33" s="25"/>
      <c r="D33" s="268"/>
      <c r="E33" s="25"/>
      <c r="F33" s="268"/>
      <c r="G33" s="602"/>
      <c r="H33" s="602"/>
      <c r="K33" s="41"/>
    </row>
    <row r="34" spans="1:12" ht="13.95" customHeight="1" x14ac:dyDescent="0.3">
      <c r="A34" s="842"/>
      <c r="B34" s="25"/>
      <c r="C34" s="199" t="str">
        <f>CurrentFY</f>
        <v>2018/19</v>
      </c>
      <c r="D34" s="271"/>
      <c r="E34" s="271" t="str">
        <f>ComparativeFY</f>
        <v>2017/18</v>
      </c>
      <c r="F34" s="271"/>
      <c r="G34" s="602"/>
      <c r="H34" s="602"/>
    </row>
    <row r="35" spans="1:12" ht="13.95" customHeight="1" x14ac:dyDescent="0.3">
      <c r="A35" s="842"/>
      <c r="B35" s="25"/>
      <c r="C35" s="199" t="s">
        <v>283</v>
      </c>
      <c r="D35" s="271"/>
      <c r="E35" s="271" t="s">
        <v>283</v>
      </c>
      <c r="F35" s="271"/>
      <c r="G35" s="602"/>
      <c r="H35" s="602"/>
    </row>
    <row r="36" spans="1:12" s="41" customFormat="1" ht="13.95" customHeight="1" x14ac:dyDescent="0.3">
      <c r="A36" s="842"/>
      <c r="B36" s="835" t="s">
        <v>862</v>
      </c>
      <c r="C36" s="258">
        <v>23515</v>
      </c>
      <c r="D36" s="112"/>
      <c r="E36" s="258">
        <v>19041</v>
      </c>
      <c r="F36" s="268"/>
      <c r="G36" s="602"/>
      <c r="H36" s="602"/>
      <c r="I36" s="626"/>
    </row>
    <row r="37" spans="1:12" s="41" customFormat="1" ht="13.95" customHeight="1" x14ac:dyDescent="0.3">
      <c r="A37" s="842"/>
      <c r="B37" s="835" t="s">
        <v>615</v>
      </c>
      <c r="C37" s="258">
        <v>-2478</v>
      </c>
      <c r="D37" s="268"/>
      <c r="E37" s="258">
        <v>-214</v>
      </c>
      <c r="F37" s="268"/>
      <c r="G37" s="602"/>
      <c r="H37" s="602"/>
      <c r="I37" s="626"/>
    </row>
    <row r="38" spans="1:12" s="41" customFormat="1" ht="13.95" customHeight="1" x14ac:dyDescent="0.3">
      <c r="A38" s="842"/>
      <c r="B38" s="835" t="s">
        <v>616</v>
      </c>
      <c r="C38" s="258">
        <v>-651</v>
      </c>
      <c r="D38" s="258"/>
      <c r="E38" s="258">
        <v>-83</v>
      </c>
      <c r="F38" s="268"/>
      <c r="G38" s="602"/>
      <c r="H38" s="602"/>
      <c r="I38" s="626"/>
    </row>
    <row r="39" spans="1:12" s="41" customFormat="1" ht="13.95" hidden="1" customHeight="1" x14ac:dyDescent="0.3">
      <c r="A39" s="842"/>
      <c r="B39" s="344" t="s">
        <v>949</v>
      </c>
      <c r="C39" s="258">
        <v>0</v>
      </c>
      <c r="D39" s="258"/>
      <c r="E39" s="258">
        <v>0</v>
      </c>
      <c r="F39" s="268"/>
      <c r="G39" s="602"/>
      <c r="H39" s="602"/>
      <c r="I39" s="626"/>
    </row>
    <row r="40" spans="1:12" s="41" customFormat="1" ht="13.95" customHeight="1" x14ac:dyDescent="0.3">
      <c r="A40" s="842"/>
      <c r="B40" s="19" t="s">
        <v>617</v>
      </c>
      <c r="C40" s="242">
        <f>SUM(C36:C39)</f>
        <v>20386</v>
      </c>
      <c r="D40" s="112"/>
      <c r="E40" s="242">
        <f>SUM(E36:E39)</f>
        <v>18744</v>
      </c>
      <c r="F40" s="268"/>
      <c r="G40" s="602"/>
      <c r="H40" s="602"/>
      <c r="I40" s="626"/>
    </row>
    <row r="41" spans="1:12" s="41" customFormat="1" ht="6.6" customHeight="1" x14ac:dyDescent="0.3">
      <c r="A41" s="842"/>
      <c r="B41" s="195"/>
      <c r="C41" s="195"/>
      <c r="D41" s="268"/>
      <c r="E41" s="268"/>
      <c r="F41" s="268"/>
      <c r="G41" s="602"/>
      <c r="H41" s="602"/>
      <c r="I41" s="626"/>
    </row>
    <row r="42" spans="1:12" s="41" customFormat="1" ht="13.95" customHeight="1" x14ac:dyDescent="0.3">
      <c r="A42" s="842"/>
      <c r="B42" s="413" t="s">
        <v>618</v>
      </c>
      <c r="C42" s="62">
        <v>20402</v>
      </c>
      <c r="D42" s="258"/>
      <c r="E42" s="258">
        <v>18957</v>
      </c>
      <c r="F42" s="268"/>
      <c r="G42" s="602"/>
      <c r="H42" s="602"/>
      <c r="I42" s="626"/>
    </row>
    <row r="43" spans="1:12" s="41" customFormat="1" ht="13.95" customHeight="1" thickBot="1" x14ac:dyDescent="0.35">
      <c r="A43" s="842"/>
      <c r="B43" s="107" t="s">
        <v>1208</v>
      </c>
      <c r="C43" s="245">
        <f>C42-C40</f>
        <v>16</v>
      </c>
      <c r="D43" s="112"/>
      <c r="E43" s="245">
        <f>E42-E40</f>
        <v>213</v>
      </c>
      <c r="F43" s="268"/>
      <c r="G43" s="602"/>
      <c r="H43" s="602"/>
      <c r="I43" s="626"/>
    </row>
    <row r="44" spans="1:12" s="41" customFormat="1" ht="13.95" customHeight="1" thickTop="1" x14ac:dyDescent="0.3">
      <c r="A44" s="842"/>
      <c r="B44" s="195"/>
      <c r="C44" s="195"/>
      <c r="D44" s="268"/>
      <c r="E44" s="195"/>
      <c r="F44" s="268"/>
      <c r="G44" s="602"/>
      <c r="H44" s="602"/>
      <c r="I44" s="626"/>
    </row>
    <row r="45" spans="1:12" ht="22.2" customHeight="1" x14ac:dyDescent="0.3">
      <c r="A45" s="842">
        <f>ROUNDDOWN(A33,0)+1</f>
        <v>38</v>
      </c>
      <c r="B45" s="200" t="str">
        <f>"Note "&amp;A45&amp;" Breakeven duty financial performance"</f>
        <v>Note 38 Breakeven duty financial performance</v>
      </c>
      <c r="C45" s="25"/>
      <c r="D45" s="268"/>
      <c r="E45" s="244"/>
      <c r="H45" s="602"/>
    </row>
    <row r="46" spans="1:12" ht="13.95" customHeight="1" x14ac:dyDescent="0.3">
      <c r="A46" s="842"/>
      <c r="B46" s="25"/>
      <c r="C46" s="192" t="str">
        <f>CurrentFY</f>
        <v>2018/19</v>
      </c>
      <c r="D46" s="271"/>
      <c r="E46" s="244"/>
      <c r="H46" s="602"/>
    </row>
    <row r="47" spans="1:12" ht="13.95" customHeight="1" x14ac:dyDescent="0.3">
      <c r="B47" s="25"/>
      <c r="C47" s="192" t="s">
        <v>283</v>
      </c>
      <c r="D47" s="271"/>
      <c r="E47" s="244"/>
    </row>
    <row r="48" spans="1:12" ht="23.4" customHeight="1" x14ac:dyDescent="0.3">
      <c r="B48" s="38" t="s">
        <v>1153</v>
      </c>
      <c r="C48" s="62">
        <f>25424-1570</f>
        <v>23854</v>
      </c>
      <c r="D48" s="258"/>
      <c r="E48" s="244"/>
      <c r="L48" s="662"/>
    </row>
    <row r="49" spans="1:12" s="672" customFormat="1" ht="15.6" customHeight="1" x14ac:dyDescent="0.3">
      <c r="A49" s="323"/>
      <c r="B49" s="38" t="s">
        <v>1240</v>
      </c>
      <c r="C49" s="670">
        <v>1570</v>
      </c>
      <c r="D49" s="670"/>
      <c r="G49" s="626"/>
      <c r="H49" s="626"/>
      <c r="I49" s="626"/>
      <c r="L49" s="662"/>
    </row>
    <row r="50" spans="1:12" ht="15.6" customHeight="1" x14ac:dyDescent="0.3">
      <c r="B50" s="38" t="s">
        <v>1154</v>
      </c>
      <c r="C50" s="62">
        <v>-204</v>
      </c>
      <c r="D50" s="258"/>
      <c r="E50" s="244"/>
    </row>
    <row r="51" spans="1:12" s="244" customFormat="1" ht="27" hidden="1" customHeight="1" x14ac:dyDescent="0.3">
      <c r="A51" s="323"/>
      <c r="B51" s="265" t="s">
        <v>861</v>
      </c>
      <c r="C51" s="258">
        <v>0</v>
      </c>
      <c r="D51" s="258"/>
      <c r="G51" s="626"/>
      <c r="H51" s="626"/>
      <c r="I51" s="626"/>
    </row>
    <row r="52" spans="1:12" ht="13.95" hidden="1" customHeight="1" x14ac:dyDescent="0.3">
      <c r="B52" s="269" t="s">
        <v>612</v>
      </c>
      <c r="C52" s="62">
        <v>0</v>
      </c>
      <c r="D52" s="258"/>
      <c r="E52" s="244"/>
    </row>
    <row r="53" spans="1:12" ht="25.2" customHeight="1" thickBot="1" x14ac:dyDescent="0.35">
      <c r="B53" s="319" t="s">
        <v>1155</v>
      </c>
      <c r="C53" s="245">
        <f>SUM(C48:C52)</f>
        <v>25220</v>
      </c>
      <c r="D53" s="112"/>
      <c r="E53" s="244"/>
    </row>
    <row r="54" spans="1:12" ht="13.95" customHeight="1" thickTop="1" x14ac:dyDescent="0.3">
      <c r="A54" s="556"/>
      <c r="D54"/>
      <c r="F54"/>
    </row>
    <row r="55" spans="1:12" ht="13.95" customHeight="1" x14ac:dyDescent="0.3">
      <c r="A55" s="556"/>
      <c r="D55"/>
      <c r="F55"/>
    </row>
    <row r="56" spans="1:12" ht="13.95" customHeight="1" x14ac:dyDescent="0.3">
      <c r="A56" s="556"/>
      <c r="D56"/>
      <c r="F56"/>
    </row>
    <row r="57" spans="1:12" ht="13.95" customHeight="1" x14ac:dyDescent="0.3">
      <c r="A57" s="556"/>
      <c r="D57"/>
      <c r="F57"/>
    </row>
    <row r="58" spans="1:12" ht="13.95" customHeight="1" x14ac:dyDescent="0.3">
      <c r="A58" s="556"/>
      <c r="D58"/>
      <c r="F58"/>
    </row>
    <row r="59" spans="1:12" ht="13.95" customHeight="1" x14ac:dyDescent="0.3">
      <c r="A59" s="556"/>
      <c r="D59"/>
      <c r="F59"/>
    </row>
    <row r="60" spans="1:12" ht="13.95" customHeight="1" x14ac:dyDescent="0.3">
      <c r="A60" s="556"/>
      <c r="D60"/>
      <c r="F60"/>
    </row>
    <row r="61" spans="1:12" ht="13.95" customHeight="1" x14ac:dyDescent="0.3">
      <c r="A61" s="556"/>
      <c r="D61"/>
      <c r="F61"/>
    </row>
    <row r="62" spans="1:12" ht="13.95" customHeight="1" x14ac:dyDescent="0.3">
      <c r="A62" s="556"/>
      <c r="D62"/>
      <c r="F62"/>
    </row>
    <row r="63" spans="1:12" ht="13.95" customHeight="1" x14ac:dyDescent="0.3">
      <c r="A63" s="556"/>
      <c r="D63"/>
      <c r="F63"/>
    </row>
    <row r="64" spans="1:12" ht="13.95" customHeight="1" x14ac:dyDescent="0.3">
      <c r="A64" s="556"/>
      <c r="D64"/>
      <c r="F64"/>
    </row>
    <row r="65" spans="1:6" ht="13.95" customHeight="1" x14ac:dyDescent="0.3">
      <c r="A65" s="556"/>
      <c r="D65"/>
      <c r="F65"/>
    </row>
    <row r="66" spans="1:6" ht="13.95" customHeight="1" x14ac:dyDescent="0.3">
      <c r="A66" s="556"/>
      <c r="D66"/>
      <c r="F66"/>
    </row>
    <row r="67" spans="1:6" ht="13.95" customHeight="1" x14ac:dyDescent="0.3">
      <c r="A67" s="556"/>
      <c r="D67"/>
      <c r="F67"/>
    </row>
    <row r="68" spans="1:6" ht="13.95" customHeight="1" x14ac:dyDescent="0.3">
      <c r="A68" s="556"/>
      <c r="D68"/>
      <c r="F68"/>
    </row>
    <row r="69" spans="1:6" ht="13.95" customHeight="1" x14ac:dyDescent="0.3">
      <c r="A69" s="556"/>
      <c r="D69"/>
      <c r="F69"/>
    </row>
    <row r="70" spans="1:6" ht="13.95" customHeight="1" x14ac:dyDescent="0.3">
      <c r="A70" s="556"/>
      <c r="D70"/>
      <c r="F70"/>
    </row>
    <row r="71" spans="1:6" ht="13.95" customHeight="1" x14ac:dyDescent="0.3">
      <c r="A71" s="556"/>
      <c r="D71"/>
      <c r="F71"/>
    </row>
  </sheetData>
  <mergeCells count="3">
    <mergeCell ref="B22:I22"/>
    <mergeCell ref="B16:I17"/>
    <mergeCell ref="B19:I19"/>
  </mergeCells>
  <pageMargins left="0.70866141732283472" right="0.70866141732283472" top="0.74803149606299213" bottom="0.74803149606299213" header="0.31496062992125984" footer="0.31496062992125984"/>
  <pageSetup paperSize="9" orientation="portrait" r:id="rId1"/>
  <headerFooter>
    <oddHeader>&amp;C&amp;10Hull University Teaching Hospitals NHS Trust - Annual Accounts 2018/19</oddHeader>
    <oddFooter>&amp;C&amp;10Page &amp;P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N13"/>
  <sheetViews>
    <sheetView zoomScaleNormal="100" workbookViewId="0">
      <selection activeCell="M8" sqref="M8"/>
    </sheetView>
  </sheetViews>
  <sheetFormatPr defaultColWidth="9.109375" defaultRowHeight="13.95" customHeight="1" x14ac:dyDescent="0.3"/>
  <cols>
    <col min="1" max="1" width="1" style="556" customWidth="1"/>
    <col min="2" max="2" width="27.6640625" style="41" customWidth="1"/>
    <col min="3" max="3" width="8.6640625" style="244" customWidth="1"/>
    <col min="4" max="10" width="8.6640625" style="41" customWidth="1"/>
    <col min="11" max="11" width="8.6640625" style="244" customWidth="1"/>
    <col min="12" max="13" width="8.6640625" style="41" customWidth="1"/>
    <col min="14" max="16384" width="9.109375" style="41"/>
  </cols>
  <sheetData>
    <row r="1" spans="1:14" ht="19.5" customHeight="1" x14ac:dyDescent="0.45">
      <c r="B1" s="273"/>
      <c r="C1" s="217"/>
    </row>
    <row r="2" spans="1:14" ht="13.95" customHeight="1" x14ac:dyDescent="0.3">
      <c r="A2" s="368">
        <f>ROUNDDOWN('CRL and breakeven duty'!A45,0)+1</f>
        <v>39</v>
      </c>
      <c r="B2" s="200" t="str">
        <f>"Note "&amp;A2&amp;" Breakeven duty rolling assessment"</f>
        <v>Note 39 Breakeven duty rolling assessment</v>
      </c>
      <c r="C2" s="270"/>
      <c r="D2" s="195"/>
      <c r="E2" s="195"/>
      <c r="F2" s="195"/>
    </row>
    <row r="3" spans="1:14" ht="28.2" customHeight="1" x14ac:dyDescent="0.3">
      <c r="C3" s="271" t="s">
        <v>909</v>
      </c>
      <c r="D3" s="271" t="s">
        <v>627</v>
      </c>
      <c r="E3" s="271" t="s">
        <v>628</v>
      </c>
      <c r="F3" s="271" t="s">
        <v>629</v>
      </c>
      <c r="G3" s="271" t="s">
        <v>630</v>
      </c>
      <c r="H3" s="271" t="s">
        <v>631</v>
      </c>
      <c r="I3" s="271" t="s">
        <v>632</v>
      </c>
      <c r="J3" s="271" t="s">
        <v>633</v>
      </c>
      <c r="K3" s="304" t="s">
        <v>553</v>
      </c>
      <c r="L3" s="271" t="str">
        <f>ComparativeFY</f>
        <v>2017/18</v>
      </c>
      <c r="M3" s="271" t="str">
        <f>CurrentFY</f>
        <v>2018/19</v>
      </c>
    </row>
    <row r="4" spans="1:14" ht="13.95" customHeight="1" x14ac:dyDescent="0.3">
      <c r="C4" s="271"/>
      <c r="D4" s="271" t="s">
        <v>283</v>
      </c>
      <c r="E4" s="271" t="s">
        <v>283</v>
      </c>
      <c r="F4" s="271" t="s">
        <v>283</v>
      </c>
      <c r="G4" s="271" t="s">
        <v>283</v>
      </c>
      <c r="H4" s="271" t="s">
        <v>283</v>
      </c>
      <c r="I4" s="271" t="s">
        <v>283</v>
      </c>
      <c r="J4" s="271" t="s">
        <v>283</v>
      </c>
      <c r="K4" s="304" t="s">
        <v>283</v>
      </c>
      <c r="L4" s="271" t="s">
        <v>283</v>
      </c>
      <c r="M4" s="271" t="s">
        <v>283</v>
      </c>
    </row>
    <row r="5" spans="1:14" ht="26.7" customHeight="1" x14ac:dyDescent="0.3">
      <c r="B5" s="299" t="s">
        <v>634</v>
      </c>
      <c r="C5" s="164"/>
      <c r="D5" s="247">
        <v>7601</v>
      </c>
      <c r="E5" s="247">
        <v>4701</v>
      </c>
      <c r="F5" s="247">
        <v>4878</v>
      </c>
      <c r="G5" s="247">
        <v>5420</v>
      </c>
      <c r="H5" s="247">
        <v>5943</v>
      </c>
      <c r="I5" s="247">
        <v>2926</v>
      </c>
      <c r="J5" s="247">
        <v>-8051</v>
      </c>
      <c r="K5" s="247">
        <v>2616</v>
      </c>
      <c r="L5" s="247">
        <v>-7133.6</v>
      </c>
      <c r="M5" s="247">
        <v>25220</v>
      </c>
      <c r="N5" s="252"/>
    </row>
    <row r="6" spans="1:14" ht="13.95" customHeight="1" x14ac:dyDescent="0.3">
      <c r="B6" s="299" t="s">
        <v>635</v>
      </c>
      <c r="C6" s="247">
        <v>3180</v>
      </c>
      <c r="D6" s="247">
        <v>10781</v>
      </c>
      <c r="E6" s="247">
        <v>15482</v>
      </c>
      <c r="F6" s="247">
        <v>20360</v>
      </c>
      <c r="G6" s="247">
        <v>25780</v>
      </c>
      <c r="H6" s="247">
        <v>31723</v>
      </c>
      <c r="I6" s="247">
        <v>34649</v>
      </c>
      <c r="J6" s="247">
        <v>26598</v>
      </c>
      <c r="K6" s="247">
        <v>29214</v>
      </c>
      <c r="L6" s="247">
        <v>22080.400000000001</v>
      </c>
      <c r="M6" s="247">
        <v>47300</v>
      </c>
    </row>
    <row r="7" spans="1:14" ht="13.95" customHeight="1" x14ac:dyDescent="0.3">
      <c r="B7" s="299" t="s">
        <v>636</v>
      </c>
      <c r="C7" s="164"/>
      <c r="D7" s="247">
        <v>469995</v>
      </c>
      <c r="E7" s="247">
        <v>480633</v>
      </c>
      <c r="F7" s="247">
        <v>499538</v>
      </c>
      <c r="G7" s="247">
        <v>497132</v>
      </c>
      <c r="H7" s="247">
        <v>506703</v>
      </c>
      <c r="I7" s="247">
        <v>526559</v>
      </c>
      <c r="J7" s="247">
        <v>526253</v>
      </c>
      <c r="K7" s="247">
        <v>561128</v>
      </c>
      <c r="L7" s="247">
        <v>579846.5</v>
      </c>
      <c r="M7" s="247">
        <v>629192</v>
      </c>
    </row>
    <row r="8" spans="1:14" ht="28.5" customHeight="1" thickBot="1" x14ac:dyDescent="0.35">
      <c r="B8" s="299" t="s">
        <v>637</v>
      </c>
      <c r="C8" s="322"/>
      <c r="D8" s="322">
        <v>2.2938541899381909E-2</v>
      </c>
      <c r="E8" s="322">
        <v>3.2211687503771069E-2</v>
      </c>
      <c r="F8" s="322">
        <v>4.075766007791199E-2</v>
      </c>
      <c r="G8" s="322">
        <v>5.1857454358198628E-2</v>
      </c>
      <c r="H8" s="322">
        <v>6.2606694651501968E-2</v>
      </c>
      <c r="I8" s="322">
        <v>6.5802692575760741E-2</v>
      </c>
      <c r="J8" s="322">
        <v>5.0542229688001782E-2</v>
      </c>
      <c r="K8" s="322">
        <v>5.2062987411071987E-2</v>
      </c>
      <c r="L8" s="322">
        <v>3.8079733170761576E-2</v>
      </c>
      <c r="M8" s="322">
        <v>7.4999999999999997E-2</v>
      </c>
    </row>
    <row r="9" spans="1:14" ht="13.95" customHeight="1" thickTop="1" x14ac:dyDescent="0.3"/>
    <row r="10" spans="1:14" ht="13.95" customHeight="1" x14ac:dyDescent="0.3">
      <c r="B10" s="252"/>
      <c r="C10" s="252"/>
    </row>
    <row r="11" spans="1:14" ht="13.95" customHeight="1" x14ac:dyDescent="0.3">
      <c r="A11" s="556">
        <f>+A2+1</f>
        <v>40</v>
      </c>
      <c r="B11" s="610" t="str">
        <f>"Note "&amp;A11&amp;" Events after the reporting period"</f>
        <v>Note 40 Events after the reporting period</v>
      </c>
    </row>
    <row r="13" spans="1:14" ht="13.95" customHeight="1" x14ac:dyDescent="0.3">
      <c r="B13" s="845" t="s">
        <v>1064</v>
      </c>
    </row>
  </sheetData>
  <pageMargins left="0.70866141732283472" right="0.70866141732283472" top="0.74803149606299213" bottom="0.74803149606299213" header="0.31496062992125984" footer="0.31496062992125984"/>
  <pageSetup paperSize="9" orientation="landscape" r:id="rId1"/>
  <headerFooter>
    <oddHeader>&amp;C&amp;10Hull University Teaching Hospitals NHS Trust - Annual Accounts 2018/19</oddHeader>
    <oddFooter>&amp;C&amp;10Page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52"/>
  <sheetViews>
    <sheetView topLeftCell="A27" zoomScaleNormal="100" workbookViewId="0">
      <selection activeCell="A27" sqref="A1:XFD1048576"/>
    </sheetView>
  </sheetViews>
  <sheetFormatPr defaultColWidth="9.109375" defaultRowHeight="11.4" x14ac:dyDescent="0.2"/>
  <cols>
    <col min="1" max="1" width="1" style="3" customWidth="1"/>
    <col min="2" max="2" width="56.6640625" style="3" customWidth="1"/>
    <col min="3" max="3" width="6.33203125" style="3" customWidth="1"/>
    <col min="4" max="4" width="8.6640625" style="3" customWidth="1"/>
    <col min="5" max="5" width="2.6640625" style="2" customWidth="1"/>
    <col min="6" max="6" width="8.6640625" style="255" customWidth="1"/>
    <col min="7" max="7" width="11" style="3" bestFit="1" customWidth="1"/>
    <col min="8" max="16384" width="9.109375" style="3"/>
  </cols>
  <sheetData>
    <row r="1" spans="2:7" ht="15" customHeight="1" x14ac:dyDescent="0.3">
      <c r="B1" s="165" t="s">
        <v>536</v>
      </c>
      <c r="D1" s="7"/>
      <c r="E1" s="42"/>
      <c r="F1" s="96"/>
    </row>
    <row r="2" spans="2:7" ht="13.95" customHeight="1" x14ac:dyDescent="0.25">
      <c r="B2" s="8"/>
      <c r="D2" s="147"/>
      <c r="E2" s="147"/>
      <c r="F2" s="898"/>
    </row>
    <row r="3" spans="2:7" ht="18" customHeight="1" x14ac:dyDescent="0.25">
      <c r="B3" s="2"/>
      <c r="D3" s="143" t="str">
        <f>CurrentFY</f>
        <v>2018/19</v>
      </c>
      <c r="E3" s="144"/>
      <c r="F3" s="899" t="str">
        <f>ComparativeFY</f>
        <v>2017/18</v>
      </c>
    </row>
    <row r="4" spans="2:7" ht="18" customHeight="1" x14ac:dyDescent="0.25">
      <c r="B4" s="9"/>
      <c r="C4" s="114" t="s">
        <v>243</v>
      </c>
      <c r="D4" s="145" t="s">
        <v>250</v>
      </c>
      <c r="E4" s="146"/>
      <c r="F4" s="900" t="s">
        <v>250</v>
      </c>
    </row>
    <row r="5" spans="2:7" ht="14.1" customHeight="1" x14ac:dyDescent="0.2">
      <c r="B5" s="137" t="s">
        <v>247</v>
      </c>
      <c r="C5" s="210">
        <f>'Op Inc'!A1</f>
        <v>2</v>
      </c>
      <c r="D5" s="62">
        <v>556067</v>
      </c>
      <c r="E5" s="58"/>
      <c r="F5" s="671">
        <v>532653.4</v>
      </c>
      <c r="G5" s="28"/>
    </row>
    <row r="6" spans="2:7" ht="14.1" customHeight="1" x14ac:dyDescent="0.2">
      <c r="B6" s="137" t="s">
        <v>248</v>
      </c>
      <c r="C6" s="210">
        <f>'Op Inc 2'!A12</f>
        <v>3</v>
      </c>
      <c r="D6" s="62">
        <f>+'Op Inc 2'!C33</f>
        <v>73125</v>
      </c>
      <c r="E6" s="58"/>
      <c r="F6" s="671">
        <v>47193.1</v>
      </c>
      <c r="G6" s="28"/>
    </row>
    <row r="7" spans="2:7" ht="14.1" customHeight="1" x14ac:dyDescent="0.2">
      <c r="B7" s="137" t="s">
        <v>276</v>
      </c>
      <c r="C7" s="210">
        <f>ROUNDDOWN('Op Exp'!A1,0)</f>
        <v>6</v>
      </c>
      <c r="D7" s="62">
        <f>-'Op Exp'!C48</f>
        <v>-593178</v>
      </c>
      <c r="E7" s="58"/>
      <c r="F7" s="671">
        <v>-575051.1</v>
      </c>
    </row>
    <row r="8" spans="2:7" ht="14.1" customHeight="1" x14ac:dyDescent="0.25">
      <c r="B8" s="123" t="s">
        <v>1176</v>
      </c>
      <c r="C8" s="210"/>
      <c r="D8" s="64">
        <f>SUM(D5:D7)</f>
        <v>36014</v>
      </c>
      <c r="E8" s="59"/>
      <c r="F8" s="621">
        <f>SUM(F5:F7)</f>
        <v>4795.4000000000233</v>
      </c>
    </row>
    <row r="9" spans="2:7" ht="12.45" customHeight="1" x14ac:dyDescent="0.25">
      <c r="B9" s="187"/>
      <c r="C9" s="210"/>
      <c r="D9" s="59"/>
      <c r="E9" s="59"/>
      <c r="F9" s="58"/>
    </row>
    <row r="10" spans="2:7" ht="14.1" customHeight="1" x14ac:dyDescent="0.2">
      <c r="B10" s="137" t="s">
        <v>244</v>
      </c>
      <c r="C10" s="210">
        <f>'Op lease &amp; Fin Inc'!A24</f>
        <v>10</v>
      </c>
      <c r="D10" s="62">
        <v>124</v>
      </c>
      <c r="E10" s="58"/>
      <c r="F10" s="671">
        <v>44</v>
      </c>
    </row>
    <row r="11" spans="2:7" ht="14.1" customHeight="1" x14ac:dyDescent="0.2">
      <c r="B11" s="137" t="s">
        <v>280</v>
      </c>
      <c r="C11" s="210">
        <f>ROUNDDOWN('Finance &amp; other'!A1,0)</f>
        <v>11</v>
      </c>
      <c r="D11" s="62">
        <v>-6888</v>
      </c>
      <c r="E11" s="58"/>
      <c r="F11" s="671">
        <v>-6488</v>
      </c>
    </row>
    <row r="12" spans="2:7" ht="14.1" customHeight="1" x14ac:dyDescent="0.2">
      <c r="B12" s="137" t="s">
        <v>277</v>
      </c>
      <c r="C12" s="210"/>
      <c r="D12" s="62">
        <v>-5377</v>
      </c>
      <c r="E12" s="58"/>
      <c r="F12" s="671">
        <v>-5466</v>
      </c>
    </row>
    <row r="13" spans="2:7" ht="14.1" customHeight="1" x14ac:dyDescent="0.25">
      <c r="B13" s="123" t="s">
        <v>245</v>
      </c>
      <c r="C13" s="210"/>
      <c r="D13" s="64">
        <f>SUM(D10:D12)</f>
        <v>-12141</v>
      </c>
      <c r="E13" s="59"/>
      <c r="F13" s="621">
        <f>SUM(F10:F12)</f>
        <v>-11910</v>
      </c>
    </row>
    <row r="14" spans="2:7" s="255" customFormat="1" ht="14.1" customHeight="1" x14ac:dyDescent="0.25">
      <c r="B14" s="740"/>
      <c r="C14" s="210"/>
      <c r="D14" s="619"/>
      <c r="E14" s="59"/>
      <c r="F14" s="760"/>
    </row>
    <row r="15" spans="2:7" ht="13.95" customHeight="1" x14ac:dyDescent="0.2">
      <c r="B15" s="174" t="s">
        <v>1175</v>
      </c>
      <c r="C15" s="210">
        <f>'Finance &amp; other'!A29</f>
        <v>12</v>
      </c>
      <c r="D15" s="685">
        <v>-19</v>
      </c>
      <c r="E15" s="58"/>
      <c r="F15" s="762">
        <v>-425</v>
      </c>
    </row>
    <row r="16" spans="2:7" ht="13.95" hidden="1" customHeight="1" x14ac:dyDescent="0.2">
      <c r="B16" s="137" t="s">
        <v>639</v>
      </c>
      <c r="C16" s="210" t="e">
        <f>ROUNDDOWN(#REF!,0)</f>
        <v>#REF!</v>
      </c>
      <c r="D16" s="62">
        <v>0</v>
      </c>
      <c r="E16" s="58"/>
      <c r="F16" s="671">
        <v>0</v>
      </c>
    </row>
    <row r="17" spans="2:8" ht="13.95" hidden="1" customHeight="1" x14ac:dyDescent="0.2">
      <c r="B17" s="137" t="s">
        <v>640</v>
      </c>
      <c r="C17" s="210">
        <f>'RP, Transfers, EARP'!A61</f>
        <v>0</v>
      </c>
      <c r="D17" s="62">
        <v>0</v>
      </c>
      <c r="E17" s="58"/>
      <c r="F17" s="671">
        <v>0</v>
      </c>
    </row>
    <row r="18" spans="2:8" ht="14.1" hidden="1" customHeight="1" x14ac:dyDescent="0.2">
      <c r="B18" s="137" t="s">
        <v>246</v>
      </c>
      <c r="C18" s="210"/>
      <c r="D18" s="62">
        <v>0</v>
      </c>
      <c r="E18" s="58"/>
      <c r="F18" s="671">
        <v>0</v>
      </c>
    </row>
    <row r="19" spans="2:8" ht="14.1" hidden="1" customHeight="1" x14ac:dyDescent="0.25">
      <c r="B19" s="123" t="s">
        <v>641</v>
      </c>
      <c r="C19" s="210"/>
      <c r="D19" s="64">
        <f>SUM(D13:D18)+D8</f>
        <v>23854</v>
      </c>
      <c r="E19" s="59"/>
      <c r="F19" s="621">
        <f>SUM(F13:F18)+F8</f>
        <v>-7539.5999999999767</v>
      </c>
    </row>
    <row r="20" spans="2:8" ht="27.75" hidden="1" customHeight="1" x14ac:dyDescent="0.25">
      <c r="B20" s="137" t="s">
        <v>642</v>
      </c>
      <c r="C20" s="210" t="e">
        <f>ROUNDDOWN(#REF!,0)</f>
        <v>#REF!</v>
      </c>
      <c r="D20" s="64">
        <v>0</v>
      </c>
      <c r="E20" s="59"/>
      <c r="F20" s="621">
        <v>0</v>
      </c>
    </row>
    <row r="21" spans="2:8" ht="15" customHeight="1" thickBot="1" x14ac:dyDescent="0.3">
      <c r="B21" s="123" t="s">
        <v>643</v>
      </c>
      <c r="C21" s="210"/>
      <c r="D21" s="63">
        <f>SUM(D19:D20)</f>
        <v>23854</v>
      </c>
      <c r="E21" s="59"/>
      <c r="F21" s="622">
        <f>SUM(F19:F20)</f>
        <v>-7539.5999999999767</v>
      </c>
    </row>
    <row r="22" spans="2:8" s="255" customFormat="1" ht="15" customHeight="1" thickTop="1" x14ac:dyDescent="0.25">
      <c r="B22" s="740"/>
      <c r="C22" s="210"/>
      <c r="D22" s="515"/>
      <c r="E22" s="59"/>
      <c r="F22" s="638"/>
    </row>
    <row r="23" spans="2:8" s="255" customFormat="1" ht="15" customHeight="1" x14ac:dyDescent="0.25">
      <c r="B23" s="740"/>
      <c r="C23" s="210"/>
      <c r="D23" s="684"/>
      <c r="E23" s="59"/>
      <c r="F23" s="758"/>
    </row>
    <row r="24" spans="2:8" ht="14.1" customHeight="1" x14ac:dyDescent="0.25">
      <c r="B24" s="14"/>
      <c r="C24" s="210"/>
      <c r="D24" s="59"/>
      <c r="E24" s="59"/>
      <c r="F24" s="58"/>
    </row>
    <row r="25" spans="2:8" ht="13.65" customHeight="1" x14ac:dyDescent="0.25">
      <c r="B25" s="123" t="s">
        <v>249</v>
      </c>
      <c r="C25" s="210"/>
      <c r="D25" s="57"/>
      <c r="E25" s="58"/>
      <c r="F25" s="57"/>
    </row>
    <row r="26" spans="2:8" ht="4.2" customHeight="1" x14ac:dyDescent="0.25">
      <c r="B26" s="123"/>
      <c r="C26" s="210"/>
      <c r="D26" s="57"/>
      <c r="E26" s="58"/>
      <c r="F26" s="57"/>
    </row>
    <row r="27" spans="2:8" ht="14.1" customHeight="1" x14ac:dyDescent="0.2">
      <c r="B27" s="137" t="s">
        <v>1177</v>
      </c>
      <c r="C27" s="210"/>
      <c r="D27" s="62">
        <f>+D21</f>
        <v>23854</v>
      </c>
      <c r="E27" s="58"/>
      <c r="F27" s="671">
        <f>+F21</f>
        <v>-7539.5999999999767</v>
      </c>
    </row>
    <row r="28" spans="2:8" s="255" customFormat="1" ht="6.6" customHeight="1" x14ac:dyDescent="0.2">
      <c r="B28" s="739"/>
      <c r="C28" s="210"/>
      <c r="D28" s="670"/>
      <c r="E28" s="58"/>
      <c r="F28" s="671"/>
    </row>
    <row r="29" spans="2:8" ht="14.1" customHeight="1" x14ac:dyDescent="0.2">
      <c r="B29" s="137" t="s">
        <v>242</v>
      </c>
      <c r="C29" s="210">
        <f>'PPE, Inv Prop'!A5</f>
        <v>16</v>
      </c>
      <c r="D29" s="258">
        <v>-12540</v>
      </c>
      <c r="E29" s="58"/>
      <c r="F29" s="671">
        <v>0</v>
      </c>
      <c r="H29" s="644"/>
    </row>
    <row r="30" spans="2:8" ht="17.399999999999999" customHeight="1" x14ac:dyDescent="0.2">
      <c r="B30" s="184" t="s">
        <v>1232</v>
      </c>
      <c r="C30" s="210">
        <v>16</v>
      </c>
      <c r="D30" s="62">
        <v>6155</v>
      </c>
      <c r="E30" s="58"/>
      <c r="F30" s="671">
        <v>0</v>
      </c>
    </row>
    <row r="31" spans="2:8" ht="15.75" customHeight="1" thickBot="1" x14ac:dyDescent="0.3">
      <c r="B31" s="123" t="s">
        <v>644</v>
      </c>
      <c r="C31" s="120"/>
      <c r="D31" s="63">
        <f>SUM(D27:D30)</f>
        <v>17469</v>
      </c>
      <c r="E31" s="59"/>
      <c r="F31" s="622">
        <f>SUM(F27:F30)</f>
        <v>-7539.5999999999767</v>
      </c>
    </row>
    <row r="32" spans="2:8" ht="13.65" customHeight="1" thickTop="1" x14ac:dyDescent="0.25">
      <c r="B32" s="11"/>
      <c r="C32" s="73"/>
    </row>
    <row r="33" spans="1:16" s="255" customFormat="1" ht="13.65" customHeight="1" x14ac:dyDescent="0.25">
      <c r="B33" s="11"/>
      <c r="C33" s="73"/>
      <c r="E33" s="445"/>
    </row>
    <row r="34" spans="1:16" ht="17.7" customHeight="1" x14ac:dyDescent="0.3">
      <c r="A34" s="825"/>
      <c r="B34" s="349"/>
      <c r="C34" s="255"/>
      <c r="D34" s="255"/>
      <c r="G34" s="824"/>
      <c r="H34" s="209"/>
      <c r="I34" s="209"/>
      <c r="J34" s="209"/>
      <c r="K34" s="209"/>
      <c r="L34" s="209"/>
      <c r="M34" s="209"/>
      <c r="N34" s="209"/>
      <c r="O34" s="209"/>
      <c r="P34" s="209"/>
    </row>
    <row r="35" spans="1:16" ht="13.65" customHeight="1" x14ac:dyDescent="0.25">
      <c r="A35" s="825"/>
      <c r="B35" s="560" t="s">
        <v>950</v>
      </c>
      <c r="C35" s="73"/>
      <c r="D35" s="73"/>
      <c r="E35" s="209"/>
      <c r="F35" s="73"/>
      <c r="G35" s="73"/>
      <c r="H35" s="73"/>
    </row>
    <row r="36" spans="1:16" ht="13.65" customHeight="1" x14ac:dyDescent="0.2">
      <c r="A36" s="825"/>
      <c r="B36" s="164" t="s">
        <v>951</v>
      </c>
      <c r="C36" s="73"/>
      <c r="D36" s="247">
        <f>D21</f>
        <v>23854</v>
      </c>
      <c r="E36" s="247"/>
      <c r="F36" s="627">
        <f>F21</f>
        <v>-7539.5999999999767</v>
      </c>
      <c r="G36" s="73"/>
      <c r="H36" s="73"/>
    </row>
    <row r="37" spans="1:16" ht="13.65" customHeight="1" x14ac:dyDescent="0.2">
      <c r="A37" s="825"/>
      <c r="B37" s="908" t="s">
        <v>1236</v>
      </c>
      <c r="C37" s="73"/>
      <c r="D37" s="247">
        <v>1570</v>
      </c>
      <c r="E37" s="247"/>
      <c r="F37" s="627">
        <v>0</v>
      </c>
      <c r="G37" s="73"/>
      <c r="H37" s="828"/>
    </row>
    <row r="38" spans="1:16" ht="13.65" customHeight="1" x14ac:dyDescent="0.2">
      <c r="A38" s="825"/>
      <c r="B38" s="164" t="s">
        <v>1111</v>
      </c>
      <c r="C38" s="73"/>
      <c r="D38" s="247">
        <v>-204</v>
      </c>
      <c r="E38" s="247"/>
      <c r="F38" s="627">
        <v>406</v>
      </c>
      <c r="G38" s="73"/>
      <c r="H38" s="73"/>
    </row>
    <row r="39" spans="1:16" ht="13.65" hidden="1" customHeight="1" x14ac:dyDescent="0.2">
      <c r="A39" s="825"/>
      <c r="B39" s="164" t="s">
        <v>370</v>
      </c>
      <c r="C39" s="73"/>
      <c r="D39" s="247">
        <v>0</v>
      </c>
      <c r="E39" s="247"/>
      <c r="F39" s="627">
        <v>0</v>
      </c>
      <c r="G39" s="73"/>
      <c r="H39" s="73"/>
    </row>
    <row r="40" spans="1:16" ht="13.65" hidden="1" customHeight="1" x14ac:dyDescent="0.2">
      <c r="A40" s="825"/>
      <c r="B40" s="164" t="s">
        <v>952</v>
      </c>
      <c r="C40" s="73"/>
      <c r="D40" s="247">
        <v>0</v>
      </c>
      <c r="E40" s="247"/>
      <c r="F40" s="627">
        <v>0</v>
      </c>
      <c r="G40" s="73"/>
      <c r="H40" s="73"/>
    </row>
    <row r="41" spans="1:16" s="255" customFormat="1" ht="13.65" hidden="1" customHeight="1" x14ac:dyDescent="0.2">
      <c r="A41" s="825"/>
      <c r="B41" s="164" t="s">
        <v>954</v>
      </c>
      <c r="C41" s="73"/>
      <c r="D41" s="247">
        <v>0</v>
      </c>
      <c r="E41" s="247"/>
      <c r="F41" s="627">
        <v>0</v>
      </c>
      <c r="G41" s="73"/>
      <c r="H41" s="73"/>
    </row>
    <row r="42" spans="1:16" s="255" customFormat="1" ht="13.65" hidden="1" customHeight="1" x14ac:dyDescent="0.2">
      <c r="A42" s="825"/>
      <c r="B42" s="164" t="s">
        <v>955</v>
      </c>
      <c r="C42" s="73"/>
      <c r="D42" s="247">
        <v>0</v>
      </c>
      <c r="E42" s="247"/>
      <c r="F42" s="627">
        <v>0</v>
      </c>
      <c r="G42" s="73"/>
      <c r="H42" s="73"/>
    </row>
    <row r="43" spans="1:16" ht="22.2" customHeight="1" thickBot="1" x14ac:dyDescent="0.3">
      <c r="A43" s="825"/>
      <c r="B43" s="560" t="s">
        <v>953</v>
      </c>
      <c r="C43" s="73"/>
      <c r="D43" s="568">
        <f>SUM(D36:D38)</f>
        <v>25220</v>
      </c>
      <c r="E43" s="209"/>
      <c r="F43" s="629">
        <f>SUM(F36:F42)</f>
        <v>-7133.5999999999767</v>
      </c>
      <c r="G43" s="73"/>
      <c r="H43" s="73"/>
    </row>
    <row r="44" spans="1:16" ht="13.65" customHeight="1" thickTop="1" x14ac:dyDescent="0.2">
      <c r="A44" s="825"/>
      <c r="B44" s="73"/>
      <c r="C44" s="73"/>
      <c r="D44" s="73"/>
      <c r="E44" s="73"/>
      <c r="F44" s="73"/>
      <c r="G44" s="73"/>
      <c r="H44" s="73"/>
    </row>
    <row r="45" spans="1:16" ht="22.2" customHeight="1" thickBot="1" x14ac:dyDescent="0.3">
      <c r="A45" s="825"/>
      <c r="B45" s="73" t="s">
        <v>1140</v>
      </c>
      <c r="C45" s="73"/>
      <c r="D45" s="829">
        <v>-1972</v>
      </c>
      <c r="E45" s="830"/>
      <c r="F45" s="901">
        <v>-15031.6</v>
      </c>
      <c r="G45" s="73"/>
      <c r="H45" s="73"/>
    </row>
    <row r="46" spans="1:16" ht="13.65" customHeight="1" x14ac:dyDescent="0.2">
      <c r="E46" s="3"/>
    </row>
    <row r="47" spans="1:16" ht="13.65" customHeight="1" x14ac:dyDescent="0.2">
      <c r="E47" s="3"/>
    </row>
    <row r="48" spans="1:16" ht="13.65" customHeight="1" x14ac:dyDescent="0.2">
      <c r="E48" s="3"/>
    </row>
    <row r="49" spans="5:5" ht="13.65" customHeight="1" x14ac:dyDescent="0.2">
      <c r="E49" s="3"/>
    </row>
    <row r="50" spans="5:5" x14ac:dyDescent="0.2">
      <c r="E50" s="3"/>
    </row>
    <row r="51" spans="5:5" x14ac:dyDescent="0.2">
      <c r="E51" s="3"/>
    </row>
    <row r="52" spans="5:5" x14ac:dyDescent="0.2">
      <c r="E52" s="3"/>
    </row>
  </sheetData>
  <customSheetViews>
    <customSheetView guid="{EDC1BD6E-863A-4FC6-A3A9-F32079F4F0C1}">
      <selection activeCell="B33" sqref="B33"/>
      <pageMargins left="0.7" right="0.7" top="0.75" bottom="0.75" header="0.3" footer="0.3"/>
      <pageSetup paperSize="9" orientation="portrait" r:id="rId1"/>
      <headerFooter>
        <oddHeader>&amp;LINSERT YOUR NHS Foundation Trust&amp;RStatement of accounts 2014/15</oddHeader>
      </headerFooter>
    </customSheetView>
  </customSheetViews>
  <pageMargins left="0.70866141732283472" right="0.70866141732283472" top="0.74803149606299213" bottom="0.74803149606299213" header="0.31496062992125984" footer="0.31496062992125984"/>
  <pageSetup paperSize="9" orientation="portrait" r:id="rId2"/>
  <headerFooter>
    <oddHeader>&amp;C&amp;10Hull University Teaching Hospitals NHS Trust - Annual Accounts 2018/19</oddHeader>
    <oddFooter>&amp;C&amp;10Page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P68"/>
  <sheetViews>
    <sheetView zoomScaleNormal="100" workbookViewId="0">
      <selection activeCell="B68" sqref="B68"/>
    </sheetView>
  </sheetViews>
  <sheetFormatPr defaultColWidth="9.109375" defaultRowHeight="11.4" x14ac:dyDescent="0.2"/>
  <cols>
    <col min="1" max="1" width="1" style="3" customWidth="1"/>
    <col min="2" max="2" width="24" style="3" customWidth="1"/>
    <col min="3" max="3" width="32.6640625" style="3" customWidth="1"/>
    <col min="4" max="4" width="6.33203125" style="96" customWidth="1"/>
    <col min="5" max="5" width="8.6640625" style="3" customWidth="1"/>
    <col min="6" max="6" width="2.6640625" style="62" customWidth="1"/>
    <col min="7" max="7" width="8.6640625" style="255" customWidth="1"/>
    <col min="8" max="16384" width="9.109375" style="3"/>
  </cols>
  <sheetData>
    <row r="1" spans="2:8" ht="17.7" customHeight="1" x14ac:dyDescent="0.3">
      <c r="B1" s="166" t="s">
        <v>537</v>
      </c>
      <c r="C1" s="153"/>
    </row>
    <row r="2" spans="2:8" ht="6.6" customHeight="1" x14ac:dyDescent="0.25">
      <c r="B2" s="115"/>
      <c r="C2" s="153"/>
      <c r="D2" s="97"/>
      <c r="E2" s="148"/>
      <c r="F2" s="151"/>
      <c r="G2" s="635"/>
    </row>
    <row r="3" spans="2:8" ht="24" x14ac:dyDescent="0.25">
      <c r="B3" s="115"/>
      <c r="C3" s="153"/>
      <c r="D3" s="10"/>
      <c r="E3" s="105" t="str">
        <f>TEXT(CurrentYearEnd, "d mmmm yyyy")</f>
        <v>31 March 2019</v>
      </c>
      <c r="F3" s="151"/>
      <c r="G3" s="624" t="str">
        <f>TEXT(ComparativeYearEnd, "d mmmm yyyy")</f>
        <v>31 March 2018</v>
      </c>
    </row>
    <row r="4" spans="2:8" ht="14.1" customHeight="1" x14ac:dyDescent="0.25">
      <c r="B4" s="115"/>
      <c r="C4" s="153"/>
      <c r="D4" s="114" t="s">
        <v>243</v>
      </c>
      <c r="E4" s="94" t="s">
        <v>250</v>
      </c>
      <c r="G4" s="624" t="s">
        <v>250</v>
      </c>
    </row>
    <row r="5" spans="2:8" ht="14.1" customHeight="1" x14ac:dyDescent="0.25">
      <c r="B5" s="154" t="s">
        <v>251</v>
      </c>
      <c r="C5" s="154"/>
      <c r="D5" s="10"/>
      <c r="E5" s="27"/>
      <c r="G5" s="27"/>
    </row>
    <row r="6" spans="2:8" ht="14.1" customHeight="1" x14ac:dyDescent="0.2">
      <c r="B6" s="163" t="s">
        <v>252</v>
      </c>
      <c r="C6" s="152"/>
      <c r="D6" s="210">
        <f>ROUNDDOWN(Intangibles!A1,0)</f>
        <v>13</v>
      </c>
      <c r="E6" s="62">
        <v>4970</v>
      </c>
      <c r="G6" s="620">
        <v>2195</v>
      </c>
    </row>
    <row r="7" spans="2:8" ht="14.1" customHeight="1" x14ac:dyDescent="0.2">
      <c r="B7" s="163" t="s">
        <v>253</v>
      </c>
      <c r="C7" s="152"/>
      <c r="D7" s="210">
        <f>ROUNDDOWN(PPE!A1,0)</f>
        <v>14</v>
      </c>
      <c r="E7" s="62">
        <v>284011</v>
      </c>
      <c r="G7" s="620">
        <v>284036</v>
      </c>
    </row>
    <row r="8" spans="2:8" ht="14.1" customHeight="1" x14ac:dyDescent="0.2">
      <c r="B8" s="163" t="s">
        <v>278</v>
      </c>
      <c r="C8" s="152"/>
      <c r="D8" s="210">
        <f>ROUNDDOWN('PPE, Inv Prop'!A23,0)</f>
        <v>17</v>
      </c>
      <c r="E8" s="62">
        <v>6050</v>
      </c>
      <c r="G8" s="620">
        <v>8528</v>
      </c>
    </row>
    <row r="9" spans="2:8" ht="14.1" hidden="1" customHeight="1" x14ac:dyDescent="0.2">
      <c r="B9" s="163"/>
      <c r="C9" s="152"/>
      <c r="D9" s="210"/>
      <c r="E9" s="62"/>
      <c r="G9" s="620"/>
    </row>
    <row r="10" spans="2:8" ht="14.1" hidden="1" customHeight="1" x14ac:dyDescent="0.2">
      <c r="B10" s="163"/>
      <c r="C10" s="152"/>
      <c r="D10" s="210"/>
      <c r="E10" s="62"/>
      <c r="G10" s="620"/>
    </row>
    <row r="11" spans="2:8" ht="14.1" customHeight="1" x14ac:dyDescent="0.2">
      <c r="B11" s="163" t="s">
        <v>878</v>
      </c>
      <c r="C11" s="152"/>
      <c r="D11" s="210">
        <f>ROUNDDOWN('Invent &amp; Receivables'!A13,0)</f>
        <v>20</v>
      </c>
      <c r="E11" s="62">
        <v>2920</v>
      </c>
      <c r="G11" s="620">
        <v>2904</v>
      </c>
    </row>
    <row r="12" spans="2:8" ht="14.1" hidden="1" customHeight="1" x14ac:dyDescent="0.2">
      <c r="B12" s="163" t="s">
        <v>254</v>
      </c>
      <c r="C12" s="152"/>
      <c r="D12" s="210" t="e">
        <f>ROUNDDOWN(#REF!,0)</f>
        <v>#REF!</v>
      </c>
      <c r="E12" s="62">
        <v>0</v>
      </c>
      <c r="G12" s="620">
        <v>0</v>
      </c>
    </row>
    <row r="13" spans="2:8" ht="14.1" customHeight="1" x14ac:dyDescent="0.25">
      <c r="B13" s="154" t="s">
        <v>255</v>
      </c>
      <c r="C13" s="154"/>
      <c r="D13" s="210"/>
      <c r="E13" s="64">
        <f>SUM(E6:E12)</f>
        <v>297951</v>
      </c>
      <c r="G13" s="621">
        <f>SUM(G6:G12)</f>
        <v>297663</v>
      </c>
      <c r="H13" s="6"/>
    </row>
    <row r="14" spans="2:8" s="255" customFormat="1" ht="14.1" customHeight="1" x14ac:dyDescent="0.25">
      <c r="B14" s="740"/>
      <c r="C14" s="740"/>
      <c r="D14" s="210"/>
      <c r="E14" s="619"/>
      <c r="F14" s="670"/>
      <c r="G14" s="760"/>
      <c r="H14" s="6"/>
    </row>
    <row r="15" spans="2:8" ht="14.1" customHeight="1" x14ac:dyDescent="0.25">
      <c r="B15" s="154" t="s">
        <v>256</v>
      </c>
      <c r="C15" s="154"/>
      <c r="D15" s="210"/>
      <c r="E15" s="652"/>
      <c r="F15" s="685"/>
      <c r="G15" s="652"/>
    </row>
    <row r="16" spans="2:8" ht="14.1" customHeight="1" x14ac:dyDescent="0.2">
      <c r="B16" s="163" t="s">
        <v>257</v>
      </c>
      <c r="C16" s="152"/>
      <c r="D16" s="210">
        <f>'Invent &amp; Receivables'!A1</f>
        <v>19</v>
      </c>
      <c r="E16" s="62">
        <v>12528</v>
      </c>
      <c r="G16" s="620">
        <v>12060</v>
      </c>
    </row>
    <row r="17" spans="2:14" ht="14.1" customHeight="1" x14ac:dyDescent="0.2">
      <c r="B17" s="163" t="s">
        <v>878</v>
      </c>
      <c r="C17" s="152"/>
      <c r="D17" s="210">
        <f>ROUNDDOWN('Invent &amp; Receivables'!A13,0)</f>
        <v>20</v>
      </c>
      <c r="E17" s="62">
        <f>+'Invent &amp; Receivables'!C26</f>
        <v>50037</v>
      </c>
      <c r="G17" s="620">
        <v>31654</v>
      </c>
    </row>
    <row r="18" spans="2:14" ht="14.1" hidden="1" customHeight="1" x14ac:dyDescent="0.2">
      <c r="B18" s="163" t="s">
        <v>590</v>
      </c>
      <c r="C18" s="152"/>
      <c r="D18" s="210" t="e">
        <f>ROUNDDOWN(#REF!,0)</f>
        <v>#REF!</v>
      </c>
      <c r="E18" s="62">
        <v>0</v>
      </c>
      <c r="G18" s="620">
        <v>0</v>
      </c>
    </row>
    <row r="19" spans="2:14" ht="14.1" hidden="1" customHeight="1" x14ac:dyDescent="0.2">
      <c r="B19" s="163" t="s">
        <v>591</v>
      </c>
      <c r="C19" s="183"/>
      <c r="D19" s="210" t="e">
        <f>ROUNDDOWN(#REF!,0)</f>
        <v>#REF!</v>
      </c>
      <c r="E19" s="62">
        <v>0</v>
      </c>
      <c r="G19" s="620">
        <v>0</v>
      </c>
    </row>
    <row r="20" spans="2:14" hidden="1" x14ac:dyDescent="0.2">
      <c r="B20" s="163" t="s">
        <v>860</v>
      </c>
      <c r="C20" s="152"/>
      <c r="D20" s="210" t="e">
        <f>ROUNDDOWN(#REF!,0)</f>
        <v>#REF!</v>
      </c>
      <c r="E20" s="62">
        <v>0</v>
      </c>
      <c r="G20" s="620">
        <v>0</v>
      </c>
    </row>
    <row r="21" spans="2:14" ht="14.1" customHeight="1" x14ac:dyDescent="0.2">
      <c r="B21" s="163" t="s">
        <v>258</v>
      </c>
      <c r="C21" s="152"/>
      <c r="D21" s="210">
        <f>ROUNDDOWN('CCE &amp; Payables'!A2,0)</f>
        <v>21</v>
      </c>
      <c r="E21" s="62">
        <v>5611</v>
      </c>
      <c r="G21" s="620">
        <v>1699</v>
      </c>
    </row>
    <row r="22" spans="2:14" ht="14.1" customHeight="1" x14ac:dyDescent="0.25">
      <c r="B22" s="154" t="s">
        <v>259</v>
      </c>
      <c r="C22" s="154"/>
      <c r="D22" s="210"/>
      <c r="E22" s="64">
        <f>SUM(E16:E21)</f>
        <v>68176</v>
      </c>
      <c r="G22" s="621">
        <f>SUM(G16:G21)</f>
        <v>45413</v>
      </c>
    </row>
    <row r="23" spans="2:14" s="255" customFormat="1" ht="14.1" customHeight="1" x14ac:dyDescent="0.25">
      <c r="B23" s="740"/>
      <c r="C23" s="740"/>
      <c r="D23" s="210"/>
      <c r="E23" s="619"/>
      <c r="F23" s="670"/>
      <c r="G23" s="760"/>
    </row>
    <row r="24" spans="2:14" ht="14.1" customHeight="1" x14ac:dyDescent="0.25">
      <c r="B24" s="154" t="s">
        <v>260</v>
      </c>
      <c r="C24" s="154"/>
      <c r="D24" s="210"/>
      <c r="E24" s="652"/>
      <c r="F24" s="685"/>
      <c r="G24" s="652"/>
    </row>
    <row r="25" spans="2:14" ht="14.1" customHeight="1" x14ac:dyDescent="0.2">
      <c r="B25" s="163" t="s">
        <v>261</v>
      </c>
      <c r="C25" s="152"/>
      <c r="D25" s="210">
        <f>'CCE &amp; Payables'!A35</f>
        <v>22</v>
      </c>
      <c r="E25" s="62">
        <v>-52689</v>
      </c>
      <c r="G25" s="620">
        <v>-49992</v>
      </c>
    </row>
    <row r="26" spans="2:14" ht="14.1" customHeight="1" x14ac:dyDescent="0.2">
      <c r="B26" s="163" t="s">
        <v>262</v>
      </c>
      <c r="C26" s="152"/>
      <c r="D26" s="210">
        <f>ROUNDDOWN('OL &amp; Borrowings'!A6,0)</f>
        <v>24</v>
      </c>
      <c r="E26" s="62">
        <v>-23087</v>
      </c>
      <c r="G26" s="620">
        <v>-17282</v>
      </c>
    </row>
    <row r="27" spans="2:14" ht="14.1" hidden="1" customHeight="1" x14ac:dyDescent="0.2">
      <c r="B27" s="163"/>
      <c r="C27" s="152"/>
      <c r="D27" s="668"/>
      <c r="E27" s="62"/>
      <c r="G27" s="620">
        <v>0</v>
      </c>
    </row>
    <row r="28" spans="2:14" ht="13.95" customHeight="1" x14ac:dyDescent="0.2">
      <c r="B28" s="163" t="s">
        <v>264</v>
      </c>
      <c r="D28" s="210">
        <f>ROUNDDOWN(Provisions!A1,0)</f>
        <v>26</v>
      </c>
      <c r="E28" s="62">
        <v>-159</v>
      </c>
      <c r="G28" s="620">
        <v>-258</v>
      </c>
    </row>
    <row r="29" spans="2:14" ht="14.1" customHeight="1" x14ac:dyDescent="0.2">
      <c r="B29" s="163" t="s">
        <v>265</v>
      </c>
      <c r="C29" s="152"/>
      <c r="D29" s="798">
        <f>'OL &amp; Borrowings'!A1</f>
        <v>23</v>
      </c>
      <c r="E29" s="62">
        <v>-1193</v>
      </c>
      <c r="G29" s="620">
        <v>-727</v>
      </c>
    </row>
    <row r="30" spans="2:14" ht="14.1" hidden="1" customHeight="1" x14ac:dyDescent="0.2">
      <c r="B30" s="163" t="s">
        <v>266</v>
      </c>
      <c r="C30" s="152"/>
      <c r="D30" s="210">
        <f>ROUNDDOWN('CCE &amp; Payables'!A1,0)</f>
        <v>20</v>
      </c>
      <c r="E30" s="62">
        <v>0</v>
      </c>
      <c r="G30" s="620">
        <v>0</v>
      </c>
    </row>
    <row r="31" spans="2:14" ht="14.1" customHeight="1" x14ac:dyDescent="0.25">
      <c r="B31" s="154" t="s">
        <v>267</v>
      </c>
      <c r="C31" s="154"/>
      <c r="D31" s="210"/>
      <c r="E31" s="64">
        <f>SUM(E25:E30)</f>
        <v>-77128</v>
      </c>
      <c r="G31" s="621">
        <f>SUM(G25:G30)</f>
        <v>-68259</v>
      </c>
      <c r="H31" s="6"/>
      <c r="I31" s="6"/>
      <c r="J31" s="6"/>
      <c r="K31" s="6"/>
      <c r="L31" s="6"/>
      <c r="M31" s="6"/>
      <c r="N31" s="6"/>
    </row>
    <row r="32" spans="2:14" s="255" customFormat="1" ht="14.1" customHeight="1" x14ac:dyDescent="0.25">
      <c r="B32" s="740"/>
      <c r="C32" s="740"/>
      <c r="D32" s="210"/>
      <c r="E32" s="619"/>
      <c r="F32" s="670"/>
      <c r="G32" s="760"/>
      <c r="H32" s="6"/>
      <c r="I32" s="6"/>
      <c r="J32" s="6"/>
      <c r="K32" s="6"/>
      <c r="L32" s="6"/>
      <c r="M32" s="6"/>
      <c r="N32" s="6"/>
    </row>
    <row r="33" spans="2:16" s="255" customFormat="1" ht="14.1" customHeight="1" x14ac:dyDescent="0.25">
      <c r="B33" s="740"/>
      <c r="C33" s="740"/>
      <c r="D33" s="210"/>
      <c r="E33" s="608"/>
      <c r="F33" s="685"/>
      <c r="G33" s="761"/>
      <c r="H33" s="6"/>
      <c r="I33" s="6"/>
      <c r="J33" s="6"/>
      <c r="K33" s="6"/>
      <c r="L33" s="6"/>
      <c r="M33" s="6"/>
      <c r="N33" s="6"/>
    </row>
    <row r="34" spans="2:16" ht="14.1" customHeight="1" x14ac:dyDescent="0.25">
      <c r="B34" s="154" t="s">
        <v>268</v>
      </c>
      <c r="C34" s="154"/>
      <c r="D34" s="210"/>
      <c r="E34" s="608">
        <f>E22+E13+E31</f>
        <v>288999</v>
      </c>
      <c r="F34" s="685"/>
      <c r="G34" s="761">
        <f>G22+G13+G31</f>
        <v>274817</v>
      </c>
      <c r="H34" s="6"/>
      <c r="I34" s="6"/>
      <c r="J34" s="6"/>
      <c r="K34" s="6"/>
      <c r="L34" s="6"/>
      <c r="M34" s="6"/>
      <c r="N34" s="6"/>
    </row>
    <row r="35" spans="2:16" s="255" customFormat="1" ht="14.1" customHeight="1" x14ac:dyDescent="0.25">
      <c r="B35" s="740"/>
      <c r="C35" s="740"/>
      <c r="D35" s="210"/>
      <c r="E35" s="608"/>
      <c r="F35" s="685"/>
      <c r="G35" s="761"/>
      <c r="H35" s="6"/>
      <c r="I35" s="6"/>
      <c r="J35" s="6"/>
      <c r="K35" s="6"/>
      <c r="L35" s="6"/>
      <c r="M35" s="6"/>
      <c r="N35" s="6"/>
    </row>
    <row r="36" spans="2:16" ht="14.1" customHeight="1" x14ac:dyDescent="0.25">
      <c r="B36" s="154" t="s">
        <v>269</v>
      </c>
      <c r="C36" s="154"/>
      <c r="D36" s="210"/>
      <c r="E36" s="29"/>
      <c r="G36" s="28"/>
      <c r="H36" s="6"/>
      <c r="I36" s="6"/>
      <c r="J36" s="6"/>
      <c r="K36" s="6"/>
      <c r="L36" s="6"/>
      <c r="M36" s="6"/>
      <c r="N36" s="6"/>
    </row>
    <row r="37" spans="2:16" ht="14.1" hidden="1" customHeight="1" x14ac:dyDescent="0.2">
      <c r="B37" s="163"/>
      <c r="C37" s="152"/>
      <c r="D37" s="210"/>
      <c r="E37" s="62"/>
      <c r="G37" s="620"/>
    </row>
    <row r="38" spans="2:16" ht="14.1" customHeight="1" x14ac:dyDescent="0.2">
      <c r="B38" s="163" t="s">
        <v>262</v>
      </c>
      <c r="D38" s="210">
        <f>ROUNDDOWN('OL &amp; Borrowings'!A6,0)</f>
        <v>24</v>
      </c>
      <c r="E38" s="62">
        <v>-81736</v>
      </c>
      <c r="G38" s="620">
        <v>-90327</v>
      </c>
    </row>
    <row r="39" spans="2:16" ht="14.1" hidden="1" customHeight="1" x14ac:dyDescent="0.2">
      <c r="B39" s="163"/>
      <c r="D39" s="798"/>
      <c r="E39" s="62"/>
      <c r="G39" s="620">
        <v>0</v>
      </c>
    </row>
    <row r="40" spans="2:16" ht="14.1" customHeight="1" x14ac:dyDescent="0.2">
      <c r="B40" s="163" t="s">
        <v>264</v>
      </c>
      <c r="D40" s="210">
        <f>ROUNDDOWN(Provisions!A1,0)</f>
        <v>26</v>
      </c>
      <c r="E40" s="62">
        <v>-871</v>
      </c>
      <c r="G40" s="620">
        <v>-653</v>
      </c>
    </row>
    <row r="41" spans="2:16" ht="14.1" hidden="1" customHeight="1" x14ac:dyDescent="0.2">
      <c r="B41" s="163" t="s">
        <v>265</v>
      </c>
      <c r="C41" s="152"/>
      <c r="D41" s="668" t="e">
        <f>ROUNDDOWN('OL &amp; Borrowings'!A5,0)</f>
        <v>#REF!</v>
      </c>
      <c r="E41" s="62">
        <v>0</v>
      </c>
      <c r="G41" s="620">
        <v>0</v>
      </c>
    </row>
    <row r="42" spans="2:16" ht="14.1" customHeight="1" x14ac:dyDescent="0.25">
      <c r="B42" s="154" t="s">
        <v>270</v>
      </c>
      <c r="C42" s="154"/>
      <c r="D42" s="120"/>
      <c r="E42" s="64">
        <f>SUM(E37:E41)</f>
        <v>-82607</v>
      </c>
      <c r="G42" s="621">
        <f>SUM(G37:G41)</f>
        <v>-90980</v>
      </c>
      <c r="H42" s="6"/>
      <c r="I42" s="6"/>
      <c r="J42" s="6"/>
      <c r="K42" s="6"/>
      <c r="L42" s="6"/>
      <c r="M42" s="6"/>
      <c r="N42" s="6"/>
      <c r="O42" s="6"/>
      <c r="P42" s="6"/>
    </row>
    <row r="43" spans="2:16" s="255" customFormat="1" ht="14.1" customHeight="1" x14ac:dyDescent="0.25">
      <c r="B43" s="740"/>
      <c r="C43" s="740"/>
      <c r="D43" s="733"/>
      <c r="E43" s="559"/>
      <c r="F43" s="670"/>
      <c r="G43" s="621"/>
      <c r="H43" s="6"/>
      <c r="I43" s="6"/>
      <c r="J43" s="6"/>
      <c r="K43" s="6"/>
      <c r="L43" s="6"/>
      <c r="M43" s="6"/>
      <c r="N43" s="6"/>
      <c r="O43" s="6"/>
      <c r="P43" s="6"/>
    </row>
    <row r="44" spans="2:16" ht="14.1" customHeight="1" thickBot="1" x14ac:dyDescent="0.3">
      <c r="B44" s="154" t="s">
        <v>271</v>
      </c>
      <c r="C44" s="154"/>
      <c r="D44" s="120"/>
      <c r="E44" s="63">
        <f>E34+E42</f>
        <v>206392</v>
      </c>
      <c r="G44" s="622">
        <f>G34+G42</f>
        <v>183837</v>
      </c>
      <c r="H44" s="6"/>
      <c r="I44" s="6"/>
      <c r="J44" s="6"/>
      <c r="K44" s="6"/>
      <c r="L44" s="6"/>
      <c r="M44" s="6"/>
      <c r="N44" s="6"/>
      <c r="O44" s="6"/>
      <c r="P44" s="6"/>
    </row>
    <row r="45" spans="2:16" ht="8.6999999999999993" customHeight="1" thickTop="1" x14ac:dyDescent="0.25">
      <c r="B45" s="154"/>
      <c r="C45" s="153"/>
      <c r="D45" s="120"/>
      <c r="E45" s="29"/>
      <c r="G45" s="28"/>
      <c r="H45" s="6"/>
      <c r="I45" s="6"/>
      <c r="J45" s="6"/>
      <c r="K45" s="6"/>
      <c r="L45" s="6"/>
      <c r="M45" s="6"/>
      <c r="N45" s="6"/>
      <c r="O45" s="6"/>
      <c r="P45" s="6"/>
    </row>
    <row r="46" spans="2:16" ht="14.1" customHeight="1" x14ac:dyDescent="0.25">
      <c r="B46" s="154" t="s">
        <v>281</v>
      </c>
      <c r="C46" s="154"/>
      <c r="D46" s="104"/>
      <c r="E46" s="29"/>
      <c r="G46" s="28"/>
      <c r="H46" s="6"/>
      <c r="I46" s="6"/>
      <c r="J46" s="6"/>
      <c r="K46" s="6"/>
      <c r="L46" s="6"/>
      <c r="M46" s="6"/>
      <c r="N46" s="6"/>
      <c r="O46" s="6"/>
      <c r="P46" s="6"/>
    </row>
    <row r="47" spans="2:16" ht="14.1" customHeight="1" x14ac:dyDescent="0.2">
      <c r="B47" s="163" t="s">
        <v>279</v>
      </c>
      <c r="C47" s="152"/>
      <c r="D47" s="103"/>
      <c r="E47" s="62">
        <v>219253</v>
      </c>
      <c r="G47" s="620">
        <v>214167</v>
      </c>
    </row>
    <row r="48" spans="2:16" ht="14.1" customHeight="1" x14ac:dyDescent="0.2">
      <c r="B48" s="163" t="s">
        <v>272</v>
      </c>
      <c r="C48" s="152"/>
      <c r="D48" s="103"/>
      <c r="E48" s="62">
        <f>+SoCIE!D13</f>
        <v>12518</v>
      </c>
      <c r="G48" s="620">
        <v>18903</v>
      </c>
    </row>
    <row r="49" spans="2:7" ht="13.95" hidden="1" customHeight="1" x14ac:dyDescent="0.2">
      <c r="B49" s="163" t="s">
        <v>887</v>
      </c>
      <c r="C49" s="152"/>
      <c r="D49" s="103"/>
      <c r="E49" s="62">
        <v>0</v>
      </c>
      <c r="G49" s="620">
        <v>0</v>
      </c>
    </row>
    <row r="50" spans="2:7" ht="14.1" hidden="1" customHeight="1" x14ac:dyDescent="0.2">
      <c r="B50" s="163" t="s">
        <v>273</v>
      </c>
      <c r="C50" s="152"/>
      <c r="D50" s="103"/>
      <c r="E50" s="62">
        <v>0</v>
      </c>
      <c r="G50" s="620">
        <v>0</v>
      </c>
    </row>
    <row r="51" spans="2:7" ht="14.1" hidden="1" customHeight="1" x14ac:dyDescent="0.2">
      <c r="B51" s="163" t="s">
        <v>274</v>
      </c>
      <c r="C51" s="152"/>
      <c r="D51" s="103"/>
      <c r="E51" s="62">
        <v>0</v>
      </c>
      <c r="G51" s="620">
        <v>0</v>
      </c>
    </row>
    <row r="52" spans="2:7" ht="14.1" customHeight="1" x14ac:dyDescent="0.2">
      <c r="B52" s="163" t="s">
        <v>275</v>
      </c>
      <c r="C52" s="152"/>
      <c r="D52" s="102"/>
      <c r="E52" s="62">
        <f>+SoCIE!G13</f>
        <v>-25378.599999999977</v>
      </c>
      <c r="G52" s="620">
        <v>-49232.599999999977</v>
      </c>
    </row>
    <row r="53" spans="2:7" ht="14.1" customHeight="1" thickBot="1" x14ac:dyDescent="0.3">
      <c r="B53" s="154" t="s">
        <v>538</v>
      </c>
      <c r="C53" s="154"/>
      <c r="D53" s="101"/>
      <c r="E53" s="63">
        <f>SUM(E47:E52)</f>
        <v>206392.40000000002</v>
      </c>
      <c r="G53" s="622">
        <f>SUM(G47:G52)</f>
        <v>183837.40000000002</v>
      </c>
    </row>
    <row r="54" spans="2:7" ht="6" customHeight="1" thickTop="1" x14ac:dyDescent="0.2">
      <c r="B54" s="13"/>
      <c r="C54" s="13"/>
      <c r="D54" s="98"/>
    </row>
    <row r="55" spans="2:7" ht="10.95" customHeight="1" x14ac:dyDescent="0.2">
      <c r="B55" s="881" t="s">
        <v>1209</v>
      </c>
      <c r="C55" s="131"/>
      <c r="D55" s="98"/>
    </row>
    <row r="56" spans="2:7" s="255" customFormat="1" ht="10.95" customHeight="1" x14ac:dyDescent="0.2">
      <c r="B56" s="131"/>
      <c r="C56" s="131"/>
      <c r="D56" s="98"/>
      <c r="F56" s="670"/>
    </row>
    <row r="57" spans="2:7" s="255" customFormat="1" ht="10.95" customHeight="1" x14ac:dyDescent="0.2">
      <c r="B57" s="131"/>
      <c r="C57" s="131"/>
      <c r="D57" s="98"/>
      <c r="F57" s="670"/>
    </row>
    <row r="58" spans="2:7" s="255" customFormat="1" ht="10.95" customHeight="1" x14ac:dyDescent="0.2">
      <c r="B58" s="131"/>
      <c r="C58" s="131"/>
      <c r="D58" s="98"/>
      <c r="F58" s="670"/>
    </row>
    <row r="59" spans="2:7" s="255" customFormat="1" ht="10.95" customHeight="1" x14ac:dyDescent="0.2">
      <c r="B59" s="131"/>
      <c r="C59" s="131"/>
      <c r="D59" s="98"/>
      <c r="F59" s="670"/>
    </row>
    <row r="60" spans="2:7" s="255" customFormat="1" ht="10.95" customHeight="1" x14ac:dyDescent="0.2">
      <c r="B60" s="131"/>
      <c r="C60" s="131"/>
      <c r="D60" s="98"/>
      <c r="F60" s="670"/>
    </row>
    <row r="61" spans="2:7" s="255" customFormat="1" ht="10.95" customHeight="1" x14ac:dyDescent="0.2">
      <c r="B61" s="131"/>
      <c r="C61" s="131"/>
      <c r="D61" s="98"/>
      <c r="F61" s="670"/>
    </row>
    <row r="62" spans="2:7" ht="13.2" customHeight="1" x14ac:dyDescent="0.2">
      <c r="B62" s="75"/>
      <c r="C62" s="152"/>
      <c r="D62" s="99"/>
    </row>
    <row r="63" spans="2:7" ht="12.6" customHeight="1" x14ac:dyDescent="0.2">
      <c r="B63" s="75"/>
      <c r="C63" s="152"/>
      <c r="D63" s="99"/>
    </row>
    <row r="64" spans="2:7" ht="16.95" customHeight="1" x14ac:dyDescent="0.2">
      <c r="B64" s="75"/>
      <c r="C64" s="152"/>
      <c r="D64" s="100"/>
    </row>
    <row r="65" spans="2:8" x14ac:dyDescent="0.2">
      <c r="B65" s="26" t="s">
        <v>1241</v>
      </c>
      <c r="C65" s="26"/>
    </row>
    <row r="66" spans="2:8" x14ac:dyDescent="0.2">
      <c r="B66" s="26" t="s">
        <v>956</v>
      </c>
      <c r="C66" s="26"/>
    </row>
    <row r="67" spans="2:8" ht="13.2" x14ac:dyDescent="0.25">
      <c r="B67" s="836" t="s">
        <v>1237</v>
      </c>
      <c r="C67" s="15"/>
    </row>
    <row r="68" spans="2:8" x14ac:dyDescent="0.2">
      <c r="B68" s="75"/>
      <c r="C68" s="152"/>
      <c r="H68" s="1"/>
    </row>
  </sheetData>
  <customSheetViews>
    <customSheetView guid="{EDC1BD6E-863A-4FC6-A3A9-F32079F4F0C1}" fitToPage="1" topLeftCell="A16">
      <selection activeCell="L29" sqref="L29"/>
      <pageMargins left="0.7" right="0.7" top="0.75" bottom="0.75" header="0.3" footer="0.3"/>
      <pageSetup paperSize="9" scale="95" orientation="portrait" r:id="rId1"/>
      <headerFooter>
        <oddHeader>&amp;LINSERT YOUR NHS Foundation Trust&amp;RStatement of accounts 2014/15</oddHeader>
      </headerFooter>
    </customSheetView>
  </customSheetViews>
  <pageMargins left="0.70866141732283472" right="0.70866141732283472" top="0.74803149606299213" bottom="0.74803149606299213" header="0.31496062992125984" footer="0.31496062992125984"/>
  <pageSetup paperSize="9" orientation="portrait" r:id="rId2"/>
  <headerFooter>
    <oddHeader>&amp;C&amp;10Hull University Teaching Hospitals NHS Trust - Annual Accounts 2018/19</oddHeader>
    <oddFooter>&amp;C&amp;10Page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39997558519241921"/>
  </sheetPr>
  <dimension ref="A1:Q30"/>
  <sheetViews>
    <sheetView zoomScaleNormal="100" workbookViewId="0">
      <selection activeCell="D6" sqref="D6:D12"/>
    </sheetView>
  </sheetViews>
  <sheetFormatPr defaultColWidth="9.109375" defaultRowHeight="11.4" x14ac:dyDescent="0.2"/>
  <cols>
    <col min="1" max="1" width="42.6640625" style="3" customWidth="1"/>
    <col min="2" max="2" width="8.6640625" style="3" customWidth="1"/>
    <col min="3" max="3" width="1.6640625" style="255" customWidth="1"/>
    <col min="4" max="4" width="10.5546875" style="3" customWidth="1"/>
    <col min="5" max="5" width="0.88671875" style="3" customWidth="1"/>
    <col min="6" max="6" width="1.109375" style="255" customWidth="1"/>
    <col min="7" max="7" width="10.109375" style="3" customWidth="1"/>
    <col min="8" max="8" width="1.6640625" style="255" customWidth="1"/>
    <col min="9" max="9" width="8.6640625" style="3" customWidth="1"/>
    <col min="10" max="16384" width="9.109375" style="3"/>
  </cols>
  <sheetData>
    <row r="1" spans="1:17" ht="14.1" customHeight="1" x14ac:dyDescent="0.3">
      <c r="A1" s="166" t="str">
        <f>"Statement of Changes in Equity for the year ended " &amp; TEXT(CurrentYearEnd, "d mmmm yyyy")</f>
        <v>Statement of Changes in Equity for the year ended 31 March 2019</v>
      </c>
      <c r="B1" s="6"/>
      <c r="C1" s="6"/>
      <c r="D1" s="6"/>
      <c r="E1" s="6"/>
      <c r="F1" s="6"/>
      <c r="G1" s="6"/>
      <c r="H1" s="6"/>
      <c r="I1" s="6"/>
      <c r="J1" s="6"/>
    </row>
    <row r="2" spans="1:17" s="255" customFormat="1" ht="31.95" customHeight="1" x14ac:dyDescent="0.3">
      <c r="A2" s="166"/>
      <c r="B2" s="6"/>
      <c r="C2" s="6"/>
      <c r="D2" s="6"/>
      <c r="E2" s="6"/>
      <c r="F2" s="6"/>
      <c r="G2" s="6"/>
      <c r="H2" s="6"/>
      <c r="I2" s="6"/>
      <c r="J2" s="6"/>
    </row>
    <row r="3" spans="1:17" ht="14.1" customHeight="1" x14ac:dyDescent="0.25">
      <c r="A3" s="123"/>
      <c r="B3" s="6"/>
      <c r="C3" s="6"/>
      <c r="D3" s="6"/>
      <c r="E3" s="6"/>
      <c r="F3" s="6"/>
      <c r="G3" s="6"/>
      <c r="H3" s="6"/>
      <c r="I3" s="6"/>
      <c r="J3" s="6"/>
    </row>
    <row r="4" spans="1:17" ht="36" x14ac:dyDescent="0.25">
      <c r="A4" s="115"/>
      <c r="B4" s="113" t="s">
        <v>279</v>
      </c>
      <c r="C4" s="778"/>
      <c r="D4" s="113" t="s">
        <v>272</v>
      </c>
      <c r="E4" s="113"/>
      <c r="F4" s="778"/>
      <c r="G4" s="113" t="s">
        <v>275</v>
      </c>
      <c r="H4" s="778"/>
      <c r="I4" s="113" t="s">
        <v>282</v>
      </c>
      <c r="J4" s="6"/>
      <c r="K4" s="180"/>
      <c r="L4" s="180"/>
      <c r="M4" s="180"/>
      <c r="N4" s="180"/>
      <c r="O4" s="180"/>
      <c r="P4" s="180"/>
      <c r="Q4" s="180"/>
    </row>
    <row r="5" spans="1:17" ht="14.1" customHeight="1" x14ac:dyDescent="0.25">
      <c r="A5" s="115"/>
      <c r="B5" s="113" t="s">
        <v>283</v>
      </c>
      <c r="C5" s="778"/>
      <c r="D5" s="113" t="s">
        <v>283</v>
      </c>
      <c r="E5" s="113"/>
      <c r="F5" s="778"/>
      <c r="G5" s="113" t="s">
        <v>283</v>
      </c>
      <c r="H5" s="778"/>
      <c r="I5" s="113" t="s">
        <v>283</v>
      </c>
      <c r="J5" s="6"/>
    </row>
    <row r="6" spans="1:17" ht="31.2" customHeight="1" x14ac:dyDescent="0.25">
      <c r="A6" s="115" t="str">
        <f>"Taxpayers' equity at " &amp; TEXT(CurrentYearStart,"d mmmm yyyy") &amp;" - brought forward"</f>
        <v>Taxpayers' equity at 1 April 2018 - brought forward</v>
      </c>
      <c r="B6" s="74">
        <f>B27</f>
        <v>214167</v>
      </c>
      <c r="C6" s="606"/>
      <c r="D6" s="246">
        <f>D27</f>
        <v>18903</v>
      </c>
      <c r="E6" s="246"/>
      <c r="F6" s="606"/>
      <c r="G6" s="246">
        <f>G27</f>
        <v>-49232.599999999977</v>
      </c>
      <c r="H6" s="606"/>
      <c r="I6" s="74">
        <f>SUM(B6:G6)</f>
        <v>183837.40000000002</v>
      </c>
      <c r="J6" s="73"/>
      <c r="K6" s="73"/>
    </row>
    <row r="7" spans="1:17" s="255" customFormat="1" ht="15" customHeight="1" x14ac:dyDescent="0.25">
      <c r="A7" s="740"/>
      <c r="B7" s="606"/>
      <c r="C7" s="606"/>
      <c r="D7" s="606"/>
      <c r="E7" s="606"/>
      <c r="F7" s="606"/>
      <c r="G7" s="606"/>
      <c r="H7" s="606"/>
      <c r="I7" s="606"/>
      <c r="J7" s="73"/>
      <c r="K7" s="73"/>
    </row>
    <row r="8" spans="1:17" s="255" customFormat="1" ht="15" customHeight="1" x14ac:dyDescent="0.25">
      <c r="A8" s="137" t="s">
        <v>1141</v>
      </c>
      <c r="B8" s="670" t="s">
        <v>1135</v>
      </c>
      <c r="C8" s="670"/>
      <c r="D8" s="670" t="s">
        <v>1135</v>
      </c>
      <c r="E8" s="258"/>
      <c r="F8" s="670"/>
      <c r="G8" s="258">
        <v>23854</v>
      </c>
      <c r="H8" s="670"/>
      <c r="I8" s="234">
        <f>SUM(B8:G8)</f>
        <v>23854</v>
      </c>
      <c r="J8" s="73"/>
      <c r="K8" s="73"/>
    </row>
    <row r="9" spans="1:17" ht="14.1" customHeight="1" x14ac:dyDescent="0.25">
      <c r="A9" s="137" t="s">
        <v>242</v>
      </c>
      <c r="B9" s="670" t="s">
        <v>1135</v>
      </c>
      <c r="C9" s="670"/>
      <c r="D9" s="670">
        <v>-12540</v>
      </c>
      <c r="E9" s="258"/>
      <c r="F9" s="670"/>
      <c r="G9" s="670" t="s">
        <v>1135</v>
      </c>
      <c r="H9" s="670"/>
      <c r="I9" s="234">
        <f>SUM(B9:G9)</f>
        <v>-12540</v>
      </c>
      <c r="J9" s="73"/>
      <c r="K9" s="73"/>
    </row>
    <row r="10" spans="1:17" s="255" customFormat="1" ht="14.1" customHeight="1" x14ac:dyDescent="0.25">
      <c r="A10" s="904" t="s">
        <v>1232</v>
      </c>
      <c r="B10" s="670" t="s">
        <v>1135</v>
      </c>
      <c r="C10" s="670"/>
      <c r="D10" s="670">
        <v>6155</v>
      </c>
      <c r="E10" s="670"/>
      <c r="F10" s="670"/>
      <c r="G10" s="670" t="s">
        <v>1135</v>
      </c>
      <c r="H10" s="670"/>
      <c r="I10" s="606">
        <f t="shared" ref="I10" si="0">SUM(B10:G10)</f>
        <v>6155</v>
      </c>
      <c r="J10" s="73"/>
      <c r="K10" s="73"/>
    </row>
    <row r="11" spans="1:17" s="255" customFormat="1" ht="14.4" customHeight="1" x14ac:dyDescent="0.25">
      <c r="A11" s="137" t="s">
        <v>285</v>
      </c>
      <c r="B11" s="258">
        <v>5086</v>
      </c>
      <c r="C11" s="670"/>
      <c r="D11" s="670" t="s">
        <v>1135</v>
      </c>
      <c r="E11" s="258"/>
      <c r="F11" s="670"/>
      <c r="G11" s="670" t="s">
        <v>1135</v>
      </c>
      <c r="H11" s="670"/>
      <c r="I11" s="246">
        <f>SUM(B11:G11)</f>
        <v>5086</v>
      </c>
      <c r="J11" s="73"/>
      <c r="K11" s="73"/>
    </row>
    <row r="12" spans="1:17" ht="14.1" customHeight="1" x14ac:dyDescent="0.25">
      <c r="A12" s="739"/>
      <c r="B12" s="670"/>
      <c r="C12" s="670"/>
      <c r="D12" s="670"/>
      <c r="E12" s="670"/>
      <c r="F12" s="670"/>
      <c r="G12" s="670"/>
      <c r="H12" s="670"/>
      <c r="I12" s="606"/>
      <c r="J12" s="73"/>
      <c r="K12" s="73"/>
    </row>
    <row r="13" spans="1:17" ht="14.1" customHeight="1" thickBot="1" x14ac:dyDescent="0.3">
      <c r="A13" s="123" t="str">
        <f>"Taxpayers' equity at " &amp; TEXT(CurrentYearEnd, "d mmmm yyyy")</f>
        <v>Taxpayers' equity at 31 March 2019</v>
      </c>
      <c r="B13" s="63">
        <f>SUM(B6:B11)</f>
        <v>219253</v>
      </c>
      <c r="C13" s="684"/>
      <c r="D13" s="233">
        <f>SUM(D6:D11)</f>
        <v>12518</v>
      </c>
      <c r="E13" s="233"/>
      <c r="F13" s="684"/>
      <c r="G13" s="233">
        <f>SUM(G6:G11)</f>
        <v>-25378.599999999977</v>
      </c>
      <c r="H13" s="684"/>
      <c r="I13" s="233">
        <f>SUM(I6:I11)</f>
        <v>206392.40000000002</v>
      </c>
      <c r="J13" s="73"/>
      <c r="K13" s="73"/>
    </row>
    <row r="14" spans="1:17" ht="14.1" hidden="1" customHeight="1" x14ac:dyDescent="0.25">
      <c r="A14" s="115"/>
      <c r="B14" s="34"/>
      <c r="C14" s="654"/>
      <c r="D14" s="34"/>
      <c r="E14" s="34"/>
      <c r="F14" s="654"/>
      <c r="G14" s="34"/>
      <c r="H14" s="654"/>
      <c r="I14" s="34"/>
      <c r="J14" s="73"/>
      <c r="K14" s="73"/>
    </row>
    <row r="15" spans="1:17" s="255" customFormat="1" ht="14.1" customHeight="1" thickTop="1" x14ac:dyDescent="0.25">
      <c r="A15" s="642"/>
      <c r="B15" s="34"/>
      <c r="C15" s="654"/>
      <c r="D15" s="34"/>
      <c r="E15" s="34"/>
      <c r="F15" s="654"/>
      <c r="G15" s="34"/>
      <c r="H15" s="654"/>
      <c r="I15" s="34"/>
      <c r="J15" s="73"/>
      <c r="K15" s="73"/>
    </row>
    <row r="16" spans="1:17" ht="42.6" customHeight="1" x14ac:dyDescent="0.25">
      <c r="A16" s="642"/>
      <c r="B16" s="654"/>
      <c r="C16" s="654"/>
      <c r="D16" s="654"/>
      <c r="E16" s="654"/>
      <c r="F16" s="654"/>
      <c r="G16" s="654"/>
      <c r="H16" s="654"/>
      <c r="I16" s="654"/>
      <c r="J16" s="73"/>
      <c r="K16" s="73"/>
    </row>
    <row r="17" spans="1:11" ht="9.75" customHeight="1" x14ac:dyDescent="0.25">
      <c r="A17" s="285"/>
      <c r="B17" s="34"/>
      <c r="C17" s="654"/>
      <c r="D17" s="34"/>
      <c r="E17" s="34"/>
      <c r="F17" s="654"/>
      <c r="G17" s="34"/>
      <c r="H17" s="654"/>
      <c r="I17" s="34"/>
      <c r="J17" s="73"/>
      <c r="K17" s="73"/>
    </row>
    <row r="18" spans="1:11" s="255" customFormat="1" ht="13.95" customHeight="1" x14ac:dyDescent="0.3">
      <c r="A18" s="166" t="str">
        <f>"Statement of Changes in Equity for the year ended " &amp; TEXT(ComparativeYearEnd, "d mmmm yyyy")</f>
        <v>Statement of Changes in Equity for the year ended 31 March 2018</v>
      </c>
      <c r="B18" s="6"/>
      <c r="C18" s="6"/>
      <c r="D18" s="6"/>
      <c r="E18" s="6"/>
      <c r="F18" s="6"/>
      <c r="G18" s="6"/>
      <c r="H18" s="6"/>
      <c r="I18" s="6"/>
      <c r="J18" s="3"/>
      <c r="K18" s="3"/>
    </row>
    <row r="19" spans="1:11" s="255" customFormat="1" ht="34.200000000000003" customHeight="1" x14ac:dyDescent="0.3">
      <c r="A19" s="166"/>
      <c r="B19" s="6"/>
      <c r="C19" s="6"/>
      <c r="D19" s="6"/>
      <c r="E19" s="6"/>
      <c r="F19" s="6"/>
      <c r="G19" s="6"/>
      <c r="H19" s="6"/>
      <c r="I19" s="6"/>
    </row>
    <row r="20" spans="1:11" s="255" customFormat="1" ht="13.95" customHeight="1" x14ac:dyDescent="0.25">
      <c r="A20" s="123"/>
      <c r="B20" s="6"/>
      <c r="C20" s="6"/>
      <c r="D20" s="6"/>
      <c r="E20" s="6"/>
      <c r="F20" s="6"/>
      <c r="G20" s="6"/>
      <c r="H20" s="6"/>
      <c r="I20" s="6"/>
      <c r="J20" s="3"/>
      <c r="K20" s="3"/>
    </row>
    <row r="21" spans="1:11" ht="36.6" customHeight="1" x14ac:dyDescent="0.25">
      <c r="A21" s="115"/>
      <c r="B21" s="113" t="s">
        <v>279</v>
      </c>
      <c r="C21" s="778"/>
      <c r="D21" s="113" t="s">
        <v>272</v>
      </c>
      <c r="E21" s="113"/>
      <c r="F21" s="778"/>
      <c r="G21" s="113" t="s">
        <v>275</v>
      </c>
      <c r="H21" s="778"/>
      <c r="I21" s="113" t="s">
        <v>282</v>
      </c>
    </row>
    <row r="22" spans="1:11" s="255" customFormat="1" ht="14.1" customHeight="1" x14ac:dyDescent="0.25">
      <c r="A22" s="115"/>
      <c r="B22" s="113" t="s">
        <v>283</v>
      </c>
      <c r="C22" s="778"/>
      <c r="D22" s="113" t="s">
        <v>283</v>
      </c>
      <c r="E22" s="113"/>
      <c r="F22" s="778"/>
      <c r="G22" s="113" t="s">
        <v>283</v>
      </c>
      <c r="H22" s="778"/>
      <c r="I22" s="113" t="s">
        <v>283</v>
      </c>
      <c r="J22" s="121"/>
      <c r="K22" s="3"/>
    </row>
    <row r="23" spans="1:11" ht="27.6" customHeight="1" x14ac:dyDescent="0.25">
      <c r="A23" s="115" t="str">
        <f>"Taxpayers' equity at " &amp; TEXT(ComparativeYearStart, "d mmmm yyyy") &amp;" - brought forward"</f>
        <v>Taxpayers' equity at 1 April 2017 - brought forward</v>
      </c>
      <c r="B23" s="74">
        <v>211148</v>
      </c>
      <c r="C23" s="606"/>
      <c r="D23" s="246">
        <v>18903</v>
      </c>
      <c r="E23" s="246"/>
      <c r="F23" s="606"/>
      <c r="G23" s="246">
        <v>-41693</v>
      </c>
      <c r="H23" s="606"/>
      <c r="I23" s="181">
        <f>SUM(B23:G23)</f>
        <v>188358</v>
      </c>
      <c r="K23" s="73"/>
    </row>
    <row r="24" spans="1:11" ht="14.1" customHeight="1" x14ac:dyDescent="0.25">
      <c r="A24" s="137" t="s">
        <v>1142</v>
      </c>
      <c r="B24" s="258" t="s">
        <v>1135</v>
      </c>
      <c r="C24" s="670"/>
      <c r="D24" s="670" t="s">
        <v>1135</v>
      </c>
      <c r="E24" s="258"/>
      <c r="F24" s="670"/>
      <c r="G24" s="258">
        <v>-7539.5999999999767</v>
      </c>
      <c r="H24" s="670"/>
      <c r="I24" s="608">
        <f t="shared" ref="I24:I25" si="1">SUM(B24:G24)</f>
        <v>-7539.5999999999767</v>
      </c>
      <c r="J24" s="73"/>
      <c r="K24" s="73"/>
    </row>
    <row r="25" spans="1:11" ht="16.95" customHeight="1" x14ac:dyDescent="0.25">
      <c r="A25" s="137" t="s">
        <v>285</v>
      </c>
      <c r="B25" s="62">
        <v>3019</v>
      </c>
      <c r="C25" s="670"/>
      <c r="D25" s="258"/>
      <c r="E25" s="258"/>
      <c r="F25" s="670"/>
      <c r="G25" s="258"/>
      <c r="H25" s="670"/>
      <c r="I25" s="608">
        <f t="shared" si="1"/>
        <v>3019</v>
      </c>
      <c r="J25" s="73"/>
      <c r="K25" s="73"/>
    </row>
    <row r="26" spans="1:11" s="255" customFormat="1" ht="4.95" customHeight="1" x14ac:dyDescent="0.25">
      <c r="A26" s="739"/>
      <c r="B26" s="670"/>
      <c r="C26" s="670"/>
      <c r="D26" s="670"/>
      <c r="E26" s="670"/>
      <c r="F26" s="670"/>
      <c r="G26" s="670"/>
      <c r="H26" s="670"/>
      <c r="I26" s="606"/>
      <c r="J26" s="73"/>
      <c r="K26" s="73"/>
    </row>
    <row r="27" spans="1:11" ht="14.1" customHeight="1" thickBot="1" x14ac:dyDescent="0.3">
      <c r="A27" s="123" t="str">
        <f>"Taxpayers' equity at " &amp; TEXT(ComparativeYearEnd, "d mmmm yyyy")</f>
        <v>Taxpayers' equity at 31 March 2018</v>
      </c>
      <c r="B27" s="63">
        <f>SUM(B23:B25)</f>
        <v>214167</v>
      </c>
      <c r="C27" s="684"/>
      <c r="D27" s="658">
        <f>SUM(D23:D25)</f>
        <v>18903</v>
      </c>
      <c r="E27" s="233"/>
      <c r="F27" s="684"/>
      <c r="G27" s="658">
        <f>SUM(G23:G25)</f>
        <v>-49232.599999999977</v>
      </c>
      <c r="H27" s="684"/>
      <c r="I27" s="658">
        <f>SUM(I23:I25)</f>
        <v>183837.40000000002</v>
      </c>
      <c r="J27" s="73"/>
      <c r="K27" s="73"/>
    </row>
    <row r="28" spans="1:11" ht="13.95" customHeight="1" thickTop="1" x14ac:dyDescent="0.2">
      <c r="A28" s="13"/>
      <c r="J28" s="73"/>
      <c r="K28" s="73"/>
    </row>
    <row r="29" spans="1:11" s="255" customFormat="1" ht="14.1" customHeight="1" x14ac:dyDescent="0.2">
      <c r="A29" s="13"/>
      <c r="B29" s="3"/>
      <c r="D29" s="3"/>
      <c r="E29" s="3"/>
      <c r="G29" s="3"/>
      <c r="I29" s="3"/>
      <c r="J29" s="73"/>
      <c r="K29" s="73"/>
    </row>
    <row r="30" spans="1:11" ht="14.1" customHeight="1" x14ac:dyDescent="0.2">
      <c r="J30" s="73"/>
      <c r="K30" s="73"/>
    </row>
  </sheetData>
  <customSheetViews>
    <customSheetView guid="{EDC1BD6E-863A-4FC6-A3A9-F32079F4F0C1}" topLeftCell="A16">
      <selection activeCell="R41" sqref="R41"/>
      <rowBreaks count="1" manualBreakCount="1">
        <brk id="26" max="16383" man="1"/>
      </rowBreaks>
      <colBreaks count="1" manualBreakCount="1">
        <brk id="1" max="1048575" man="1"/>
      </colBreaks>
      <pageMargins left="0.7" right="0.7" top="0.75" bottom="0.75" header="0.3" footer="0.3"/>
      <pageSetup paperSize="9" orientation="landscape" verticalDpi="0" r:id="rId1"/>
      <headerFooter>
        <oddHeader>&amp;LINSERT YOUR NHS Foundation Trust&amp;RStatement of accounts 2014/15</oddHeader>
      </headerFooter>
    </customSheetView>
  </customSheetViews>
  <pageMargins left="0.70866141732283472" right="0.70866141732283472" top="0.74803149606299213" bottom="0.74803149606299213" header="0.31496062992125984" footer="0.31496062992125984"/>
  <pageSetup paperSize="9" orientation="portrait" r:id="rId2"/>
  <headerFooter>
    <oddHeader>&amp;C&amp;10Hull University Teaching Hospitals NHS Trust - Annual Accounts 2018/19</oddHeader>
    <oddFooter>&amp;C&amp;10Page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P60"/>
  <sheetViews>
    <sheetView zoomScaleNormal="100" workbookViewId="0">
      <selection sqref="A1:XFD1048576"/>
    </sheetView>
  </sheetViews>
  <sheetFormatPr defaultColWidth="9.109375" defaultRowHeight="14.1" customHeight="1" x14ac:dyDescent="0.2"/>
  <cols>
    <col min="1" max="1" width="1" style="3" customWidth="1"/>
    <col min="2" max="2" width="56.6640625" style="12" customWidth="1"/>
    <col min="3" max="3" width="6.33203125" style="135" customWidth="1"/>
    <col min="4" max="4" width="8.6640625" style="3" customWidth="1"/>
    <col min="5" max="5" width="2.6640625" style="62" customWidth="1"/>
    <col min="6" max="6" width="8.6640625" style="255" customWidth="1"/>
    <col min="7" max="7" width="11" style="3" bestFit="1" customWidth="1"/>
    <col min="8" max="16384" width="9.109375" style="3"/>
  </cols>
  <sheetData>
    <row r="1" spans="2:16" ht="15.75" customHeight="1" x14ac:dyDescent="0.3">
      <c r="B1" s="165" t="s">
        <v>448</v>
      </c>
      <c r="C1" s="46"/>
      <c r="D1" s="26"/>
      <c r="F1" s="625"/>
      <c r="G1" s="831"/>
      <c r="H1" s="832"/>
      <c r="I1" s="832"/>
      <c r="J1" s="832"/>
      <c r="K1" s="832"/>
      <c r="L1" s="832"/>
      <c r="M1" s="833"/>
      <c r="N1" s="833"/>
      <c r="O1" s="209"/>
      <c r="P1" s="73"/>
    </row>
    <row r="2" spans="2:16" ht="14.1" customHeight="1" x14ac:dyDescent="0.25">
      <c r="B2" s="115"/>
      <c r="C2" s="126"/>
      <c r="D2" s="113" t="str">
        <f>CurrentFY</f>
        <v>2018/19</v>
      </c>
      <c r="F2" s="624" t="str">
        <f>ComparativeFY</f>
        <v>2017/18</v>
      </c>
      <c r="G2" s="73"/>
    </row>
    <row r="3" spans="2:16" ht="14.1" customHeight="1" x14ac:dyDescent="0.25">
      <c r="B3" s="115"/>
      <c r="C3" s="149" t="s">
        <v>243</v>
      </c>
      <c r="D3" s="113" t="s">
        <v>283</v>
      </c>
      <c r="F3" s="624" t="s">
        <v>283</v>
      </c>
      <c r="G3" s="73"/>
    </row>
    <row r="4" spans="2:16" ht="14.1" customHeight="1" x14ac:dyDescent="0.25">
      <c r="B4" s="123" t="s">
        <v>288</v>
      </c>
      <c r="C4" s="205"/>
      <c r="D4" s="115"/>
      <c r="F4" s="623"/>
      <c r="G4" s="73"/>
    </row>
    <row r="5" spans="2:16" ht="14.1" customHeight="1" x14ac:dyDescent="0.2">
      <c r="B5" s="137" t="s">
        <v>1178</v>
      </c>
      <c r="C5" s="210"/>
      <c r="D5" s="62">
        <v>36014</v>
      </c>
      <c r="F5" s="620">
        <v>4795.4000000000233</v>
      </c>
      <c r="G5" s="73"/>
    </row>
    <row r="6" spans="2:16" ht="14.1" customHeight="1" x14ac:dyDescent="0.25">
      <c r="B6" s="123" t="s">
        <v>289</v>
      </c>
      <c r="C6" s="205"/>
      <c r="D6" s="62"/>
      <c r="F6" s="620"/>
      <c r="G6" s="73"/>
    </row>
    <row r="7" spans="2:16" ht="14.1" customHeight="1" x14ac:dyDescent="0.2">
      <c r="B7" s="137" t="s">
        <v>290</v>
      </c>
      <c r="C7" s="210">
        <f>'Op Exp'!A1</f>
        <v>6.1</v>
      </c>
      <c r="D7" s="62">
        <v>12810</v>
      </c>
      <c r="F7" s="620">
        <v>12222</v>
      </c>
      <c r="G7" s="73"/>
    </row>
    <row r="8" spans="2:16" s="255" customFormat="1" ht="14.1" customHeight="1" x14ac:dyDescent="0.2">
      <c r="B8" s="907" t="s">
        <v>1238</v>
      </c>
      <c r="C8" s="210"/>
      <c r="D8" s="670">
        <v>1570</v>
      </c>
      <c r="E8" s="670"/>
      <c r="F8" s="671">
        <v>0</v>
      </c>
      <c r="G8" s="73"/>
    </row>
    <row r="9" spans="2:16" ht="14.1" customHeight="1" x14ac:dyDescent="0.2">
      <c r="B9" s="137" t="s">
        <v>552</v>
      </c>
      <c r="C9" s="210">
        <f>'Op Inc 2'!A12</f>
        <v>3</v>
      </c>
      <c r="D9" s="62">
        <v>-651</v>
      </c>
      <c r="F9" s="620">
        <v>-83</v>
      </c>
      <c r="G9" s="73"/>
    </row>
    <row r="10" spans="2:16" ht="14.1" hidden="1" customHeight="1" x14ac:dyDescent="0.2">
      <c r="B10" s="137"/>
      <c r="C10" s="210"/>
      <c r="D10" s="62"/>
      <c r="F10" s="620"/>
      <c r="G10" s="73"/>
    </row>
    <row r="11" spans="2:16" ht="14.1" hidden="1" customHeight="1" x14ac:dyDescent="0.2">
      <c r="B11" s="137"/>
      <c r="C11" s="210"/>
      <c r="D11" s="62"/>
      <c r="F11" s="620"/>
      <c r="G11" s="73"/>
    </row>
    <row r="12" spans="2:16" ht="14.1" customHeight="1" x14ac:dyDescent="0.2">
      <c r="B12" s="137" t="s">
        <v>1179</v>
      </c>
      <c r="C12" s="210"/>
      <c r="D12" s="62">
        <v>-18335</v>
      </c>
      <c r="F12" s="620">
        <v>-3965</v>
      </c>
      <c r="G12" s="73"/>
    </row>
    <row r="13" spans="2:16" ht="14.1" customHeight="1" x14ac:dyDescent="0.2">
      <c r="B13" s="137" t="s">
        <v>649</v>
      </c>
      <c r="C13" s="210"/>
      <c r="D13" s="62">
        <v>-468</v>
      </c>
      <c r="F13" s="620">
        <v>75</v>
      </c>
      <c r="G13" s="73"/>
    </row>
    <row r="14" spans="2:16" ht="14.1" customHeight="1" x14ac:dyDescent="0.2">
      <c r="B14" s="264" t="s">
        <v>859</v>
      </c>
      <c r="C14" s="210"/>
      <c r="D14" s="62">
        <v>1136</v>
      </c>
      <c r="F14" s="620">
        <v>-1903</v>
      </c>
      <c r="G14" s="73"/>
    </row>
    <row r="15" spans="2:16" ht="14.1" customHeight="1" x14ac:dyDescent="0.2">
      <c r="B15" s="137" t="s">
        <v>650</v>
      </c>
      <c r="C15" s="210"/>
      <c r="D15" s="62">
        <v>104</v>
      </c>
      <c r="F15" s="620">
        <v>-7</v>
      </c>
      <c r="G15" s="73"/>
    </row>
    <row r="16" spans="2:16" ht="14.1" hidden="1" customHeight="1" x14ac:dyDescent="0.2">
      <c r="B16" s="137"/>
      <c r="C16" s="210"/>
      <c r="D16" s="62"/>
      <c r="F16" s="620"/>
      <c r="G16" s="73"/>
    </row>
    <row r="17" spans="2:7" ht="14.1" hidden="1" customHeight="1" x14ac:dyDescent="0.2">
      <c r="B17" s="137"/>
      <c r="C17" s="210"/>
      <c r="D17" s="62"/>
      <c r="F17" s="620"/>
      <c r="G17" s="73"/>
    </row>
    <row r="18" spans="2:7" ht="14.1" hidden="1" customHeight="1" x14ac:dyDescent="0.2">
      <c r="B18" s="137"/>
      <c r="C18" s="210"/>
      <c r="D18" s="62"/>
      <c r="F18" s="620"/>
      <c r="G18" s="73"/>
    </row>
    <row r="19" spans="2:7" s="255" customFormat="1" ht="14.1" customHeight="1" x14ac:dyDescent="0.2">
      <c r="B19" s="739"/>
      <c r="C19" s="210"/>
      <c r="D19" s="670"/>
      <c r="E19" s="670"/>
      <c r="F19" s="671"/>
      <c r="G19" s="73"/>
    </row>
    <row r="20" spans="2:7" ht="14.1" customHeight="1" x14ac:dyDescent="0.25">
      <c r="B20" s="123" t="s">
        <v>1180</v>
      </c>
      <c r="C20" s="205"/>
      <c r="D20" s="64">
        <f>SUM(D5:D18)</f>
        <v>32180</v>
      </c>
      <c r="F20" s="621">
        <f>SUM(F5:F18)</f>
        <v>11134.400000000023</v>
      </c>
      <c r="G20" s="73"/>
    </row>
    <row r="21" spans="2:7" s="255" customFormat="1" ht="14.1" customHeight="1" x14ac:dyDescent="0.25">
      <c r="B21" s="740"/>
      <c r="C21" s="743"/>
      <c r="D21" s="619"/>
      <c r="E21" s="670"/>
      <c r="F21" s="760"/>
      <c r="G21" s="73"/>
    </row>
    <row r="22" spans="2:7" ht="14.1" customHeight="1" x14ac:dyDescent="0.25">
      <c r="B22" s="123" t="s">
        <v>291</v>
      </c>
      <c r="C22" s="205"/>
      <c r="D22" s="685"/>
      <c r="E22" s="685"/>
      <c r="F22" s="762"/>
      <c r="G22" s="73"/>
    </row>
    <row r="23" spans="2:7" ht="14.1" customHeight="1" x14ac:dyDescent="0.2">
      <c r="B23" s="137" t="s">
        <v>292</v>
      </c>
      <c r="C23" s="210"/>
      <c r="D23" s="62">
        <v>124</v>
      </c>
      <c r="F23" s="620">
        <v>44</v>
      </c>
      <c r="G23" s="73"/>
    </row>
    <row r="24" spans="2:7" ht="14.1" hidden="1" customHeight="1" x14ac:dyDescent="0.2">
      <c r="B24" s="137" t="s">
        <v>592</v>
      </c>
      <c r="C24" s="210"/>
      <c r="D24" s="62"/>
      <c r="F24" s="620">
        <v>0</v>
      </c>
      <c r="G24" s="73"/>
    </row>
    <row r="25" spans="2:7" ht="14.1" customHeight="1" x14ac:dyDescent="0.2">
      <c r="B25" s="137" t="s">
        <v>293</v>
      </c>
      <c r="C25" s="210"/>
      <c r="D25" s="62">
        <v>-2259</v>
      </c>
      <c r="F25" s="620">
        <v>-447</v>
      </c>
      <c r="G25" s="73"/>
    </row>
    <row r="26" spans="2:7" ht="14.1" hidden="1" customHeight="1" x14ac:dyDescent="0.2">
      <c r="B26" s="137" t="s">
        <v>294</v>
      </c>
      <c r="C26" s="210"/>
      <c r="D26" s="62"/>
      <c r="F26" s="620">
        <v>0</v>
      </c>
      <c r="G26" s="73"/>
    </row>
    <row r="27" spans="2:7" ht="13.95" customHeight="1" x14ac:dyDescent="0.2">
      <c r="B27" s="137" t="s">
        <v>486</v>
      </c>
      <c r="C27" s="210"/>
      <c r="D27" s="62">
        <v>-18457</v>
      </c>
      <c r="F27" s="620">
        <v>-18364</v>
      </c>
      <c r="G27" s="73"/>
    </row>
    <row r="28" spans="2:7" ht="14.1" customHeight="1" x14ac:dyDescent="0.2">
      <c r="B28" s="137" t="s">
        <v>487</v>
      </c>
      <c r="C28" s="210"/>
      <c r="D28" s="168">
        <v>2458</v>
      </c>
      <c r="E28" s="168"/>
      <c r="F28" s="627">
        <v>271</v>
      </c>
      <c r="G28" s="73"/>
    </row>
    <row r="29" spans="2:7" s="255" customFormat="1" ht="13.95" customHeight="1" x14ac:dyDescent="0.2">
      <c r="B29" s="739"/>
      <c r="C29" s="210"/>
      <c r="D29" s="670"/>
      <c r="E29" s="670"/>
      <c r="F29" s="671"/>
      <c r="G29" s="73"/>
    </row>
    <row r="30" spans="2:7" ht="14.1" customHeight="1" x14ac:dyDescent="0.25">
      <c r="B30" s="123" t="s">
        <v>651</v>
      </c>
      <c r="C30" s="205"/>
      <c r="D30" s="619">
        <f>SUM(D23:D28)</f>
        <v>-18134</v>
      </c>
      <c r="F30" s="760">
        <f>SUM(F23:F28)</f>
        <v>-18496</v>
      </c>
      <c r="G30" s="73"/>
    </row>
    <row r="31" spans="2:7" s="255" customFormat="1" ht="14.1" customHeight="1" x14ac:dyDescent="0.25">
      <c r="B31" s="740"/>
      <c r="C31" s="743"/>
      <c r="D31" s="608"/>
      <c r="E31" s="670"/>
      <c r="F31" s="761"/>
      <c r="G31" s="73"/>
    </row>
    <row r="32" spans="2:7" ht="14.1" customHeight="1" x14ac:dyDescent="0.25">
      <c r="B32" s="123" t="s">
        <v>541</v>
      </c>
      <c r="C32" s="205"/>
      <c r="D32" s="685"/>
      <c r="E32" s="685"/>
      <c r="F32" s="762"/>
      <c r="G32" s="73"/>
    </row>
    <row r="33" spans="2:8" ht="14.1" customHeight="1" x14ac:dyDescent="0.2">
      <c r="B33" s="137" t="s">
        <v>285</v>
      </c>
      <c r="C33" s="210"/>
      <c r="D33" s="62">
        <v>5086</v>
      </c>
      <c r="F33" s="620">
        <v>3019</v>
      </c>
      <c r="G33" s="73"/>
    </row>
    <row r="34" spans="2:8" ht="14.1" hidden="1" customHeight="1" x14ac:dyDescent="0.2">
      <c r="B34" s="137" t="s">
        <v>286</v>
      </c>
      <c r="C34" s="210"/>
      <c r="D34" s="62"/>
      <c r="F34" s="620">
        <v>0</v>
      </c>
      <c r="G34" s="73"/>
    </row>
    <row r="35" spans="2:8" ht="14.1" customHeight="1" x14ac:dyDescent="0.2">
      <c r="B35" s="137" t="s">
        <v>854</v>
      </c>
      <c r="C35" s="210"/>
      <c r="D35" s="62">
        <v>-1049</v>
      </c>
      <c r="F35" s="620">
        <v>16415</v>
      </c>
      <c r="G35" s="73"/>
    </row>
    <row r="36" spans="2:8" ht="14.1" hidden="1" customHeight="1" x14ac:dyDescent="0.2">
      <c r="B36" s="137" t="s">
        <v>484</v>
      </c>
      <c r="C36" s="210"/>
      <c r="D36" s="62"/>
      <c r="F36" s="620">
        <v>0</v>
      </c>
      <c r="G36" s="73"/>
    </row>
    <row r="37" spans="2:8" ht="14.1" hidden="1" customHeight="1" x14ac:dyDescent="0.2">
      <c r="B37" s="137" t="s">
        <v>296</v>
      </c>
      <c r="C37" s="210"/>
      <c r="D37" s="62"/>
      <c r="F37" s="620">
        <v>0</v>
      </c>
      <c r="G37" s="73"/>
    </row>
    <row r="38" spans="2:8" ht="14.1" customHeight="1" x14ac:dyDescent="0.2">
      <c r="B38" s="137" t="s">
        <v>295</v>
      </c>
      <c r="C38" s="210"/>
      <c r="D38" s="62">
        <v>-56</v>
      </c>
      <c r="F38" s="620">
        <v>-55</v>
      </c>
      <c r="G38" s="73"/>
    </row>
    <row r="39" spans="2:8" ht="13.95" customHeight="1" x14ac:dyDescent="0.2">
      <c r="B39" s="137" t="s">
        <v>297</v>
      </c>
      <c r="C39" s="210"/>
      <c r="D39" s="62">
        <v>-1778</v>
      </c>
      <c r="F39" s="620">
        <v>-1630</v>
      </c>
      <c r="G39" s="73"/>
    </row>
    <row r="40" spans="2:8" s="255" customFormat="1" ht="13.95" customHeight="1" x14ac:dyDescent="0.2">
      <c r="B40" s="279" t="s">
        <v>879</v>
      </c>
      <c r="C40" s="210"/>
      <c r="D40" s="258">
        <v>-1132</v>
      </c>
      <c r="E40" s="258"/>
      <c r="F40" s="620">
        <v>-920</v>
      </c>
      <c r="G40" s="73"/>
    </row>
    <row r="41" spans="2:8" s="255" customFormat="1" ht="13.95" hidden="1" customHeight="1" x14ac:dyDescent="0.2">
      <c r="B41" s="279" t="s">
        <v>880</v>
      </c>
      <c r="C41" s="210"/>
      <c r="D41" s="258"/>
      <c r="E41" s="258"/>
      <c r="F41" s="620">
        <v>0</v>
      </c>
      <c r="G41" s="73"/>
      <c r="H41" s="681"/>
    </row>
    <row r="42" spans="2:8" ht="13.95" customHeight="1" x14ac:dyDescent="0.2">
      <c r="B42" s="137" t="s">
        <v>452</v>
      </c>
      <c r="C42" s="210"/>
      <c r="D42" s="258">
        <v>-4</v>
      </c>
      <c r="E42" s="258"/>
      <c r="F42" s="620">
        <v>-4</v>
      </c>
      <c r="G42" s="73"/>
    </row>
    <row r="43" spans="2:8" ht="14.1" customHeight="1" x14ac:dyDescent="0.2">
      <c r="B43" s="137" t="s">
        <v>485</v>
      </c>
      <c r="C43" s="210"/>
      <c r="D43" s="258">
        <v>-5760</v>
      </c>
      <c r="E43" s="258"/>
      <c r="F43" s="620">
        <v>-5496</v>
      </c>
      <c r="G43" s="73"/>
    </row>
    <row r="44" spans="2:8" ht="14.1" customHeight="1" x14ac:dyDescent="0.2">
      <c r="B44" s="279" t="s">
        <v>1143</v>
      </c>
      <c r="C44" s="210"/>
      <c r="D44" s="258">
        <v>-5441</v>
      </c>
      <c r="E44" s="258"/>
      <c r="F44" s="620">
        <v>-5239</v>
      </c>
      <c r="G44" s="73"/>
    </row>
    <row r="45" spans="2:8" ht="14.1" hidden="1" customHeight="1" x14ac:dyDescent="0.2">
      <c r="B45" s="279" t="s">
        <v>533</v>
      </c>
      <c r="C45" s="210"/>
      <c r="D45" s="258">
        <v>0</v>
      </c>
      <c r="E45" s="258"/>
      <c r="F45" s="620">
        <v>0</v>
      </c>
      <c r="G45" s="73"/>
    </row>
    <row r="46" spans="2:8" ht="14.1" hidden="1" customHeight="1" x14ac:dyDescent="0.2">
      <c r="B46" s="137" t="s">
        <v>298</v>
      </c>
      <c r="C46" s="210"/>
      <c r="D46" s="62">
        <v>0</v>
      </c>
      <c r="F46" s="620">
        <v>0</v>
      </c>
      <c r="G46" s="73"/>
    </row>
    <row r="47" spans="2:8" s="255" customFormat="1" ht="14.1" customHeight="1" x14ac:dyDescent="0.2">
      <c r="B47" s="780"/>
      <c r="C47" s="210"/>
      <c r="D47" s="670"/>
      <c r="E47" s="670"/>
      <c r="F47" s="671"/>
      <c r="G47" s="73"/>
    </row>
    <row r="48" spans="2:8" ht="14.1" customHeight="1" x14ac:dyDescent="0.25">
      <c r="B48" s="123" t="s">
        <v>652</v>
      </c>
      <c r="C48" s="205"/>
      <c r="D48" s="619">
        <f>SUM(D33:D46)</f>
        <v>-10134</v>
      </c>
      <c r="F48" s="760">
        <f>SUM(F33:F46)</f>
        <v>6090</v>
      </c>
      <c r="G48" s="73"/>
    </row>
    <row r="49" spans="2:8" s="255" customFormat="1" ht="14.1" customHeight="1" x14ac:dyDescent="0.25">
      <c r="B49" s="740"/>
      <c r="C49" s="743"/>
      <c r="D49" s="608"/>
      <c r="E49" s="685"/>
      <c r="F49" s="761"/>
      <c r="G49" s="73"/>
    </row>
    <row r="50" spans="2:8" ht="14.1" customHeight="1" x14ac:dyDescent="0.25">
      <c r="B50" s="123" t="s">
        <v>653</v>
      </c>
      <c r="C50" s="205"/>
      <c r="D50" s="619">
        <f>D20+D30+D48</f>
        <v>3912</v>
      </c>
      <c r="E50" s="685"/>
      <c r="F50" s="760">
        <f>F20+F30+F48</f>
        <v>-1271.5999999999767</v>
      </c>
      <c r="G50" s="73"/>
    </row>
    <row r="51" spans="2:8" s="255" customFormat="1" ht="14.1" customHeight="1" x14ac:dyDescent="0.25">
      <c r="B51" s="740"/>
      <c r="C51" s="743"/>
      <c r="D51" s="608"/>
      <c r="E51" s="685"/>
      <c r="F51" s="761"/>
      <c r="G51" s="73"/>
    </row>
    <row r="52" spans="2:8" ht="14.1" customHeight="1" x14ac:dyDescent="0.25">
      <c r="B52" s="260" t="s">
        <v>857</v>
      </c>
      <c r="C52" s="205"/>
      <c r="D52" s="74">
        <f>F59</f>
        <v>1699.4000000000233</v>
      </c>
      <c r="F52" s="572">
        <v>2971</v>
      </c>
      <c r="G52" s="73"/>
    </row>
    <row r="53" spans="2:8" s="255" customFormat="1" ht="14.1" hidden="1" customHeight="1" x14ac:dyDescent="0.25">
      <c r="B53" s="194" t="s">
        <v>370</v>
      </c>
      <c r="C53" s="261"/>
      <c r="D53" s="258"/>
      <c r="E53" s="258"/>
      <c r="F53" s="620">
        <v>0</v>
      </c>
      <c r="G53" s="73"/>
      <c r="H53" s="73"/>
    </row>
    <row r="54" spans="2:8" s="255" customFormat="1" ht="14.1" hidden="1" customHeight="1" x14ac:dyDescent="0.25">
      <c r="B54" s="260" t="s">
        <v>858</v>
      </c>
      <c r="C54" s="261"/>
      <c r="D54" s="281">
        <f>SUM(D52:D53)</f>
        <v>1699.4000000000233</v>
      </c>
      <c r="E54" s="211"/>
      <c r="F54" s="636">
        <f>SUM(F52:F53)</f>
        <v>2971</v>
      </c>
      <c r="G54" s="73"/>
      <c r="H54" s="73"/>
    </row>
    <row r="55" spans="2:8" ht="14.1" hidden="1" customHeight="1" x14ac:dyDescent="0.25">
      <c r="B55" s="123" t="s">
        <v>446</v>
      </c>
      <c r="C55" s="210"/>
      <c r="D55" s="246">
        <v>0</v>
      </c>
      <c r="E55" s="258"/>
      <c r="F55" s="572">
        <v>0</v>
      </c>
      <c r="H55" s="73"/>
    </row>
    <row r="56" spans="2:8" ht="13.95" hidden="1" customHeight="1" x14ac:dyDescent="0.2">
      <c r="B56" s="318" t="s">
        <v>453</v>
      </c>
      <c r="C56" s="210">
        <f>'RP, Transfers, EARP'!A61</f>
        <v>0</v>
      </c>
      <c r="D56" s="258">
        <v>0</v>
      </c>
      <c r="E56" s="258"/>
      <c r="F56" s="620">
        <v>0</v>
      </c>
      <c r="H56" s="73"/>
    </row>
    <row r="57" spans="2:8" ht="13.95" hidden="1" customHeight="1" x14ac:dyDescent="0.2">
      <c r="B57" s="318" t="s">
        <v>654</v>
      </c>
      <c r="C57" s="210"/>
      <c r="D57" s="258">
        <v>0</v>
      </c>
      <c r="E57" s="258"/>
      <c r="F57" s="620">
        <v>0</v>
      </c>
      <c r="H57" s="73"/>
    </row>
    <row r="58" spans="2:8" ht="13.95" hidden="1" customHeight="1" x14ac:dyDescent="0.25">
      <c r="B58" s="318" t="s">
        <v>593</v>
      </c>
      <c r="C58" s="210"/>
      <c r="D58" s="246">
        <v>0</v>
      </c>
      <c r="E58" s="258"/>
      <c r="F58" s="572">
        <v>0</v>
      </c>
      <c r="H58" s="73"/>
    </row>
    <row r="59" spans="2:8" ht="14.1" customHeight="1" thickBot="1" x14ac:dyDescent="0.3">
      <c r="B59" s="123" t="s">
        <v>447</v>
      </c>
      <c r="C59" s="212">
        <f>'CCE &amp; Payables'!A2</f>
        <v>21</v>
      </c>
      <c r="D59" s="245">
        <f>D50+SUM(D54:D58)</f>
        <v>5611.4000000000233</v>
      </c>
      <c r="F59" s="622">
        <f>F50+SUM(F54:F58)</f>
        <v>1699.4000000000233</v>
      </c>
      <c r="G59" s="73"/>
      <c r="H59" s="73"/>
    </row>
    <row r="60" spans="2:8" ht="14.1" customHeight="1" thickTop="1" x14ac:dyDescent="0.2">
      <c r="G60" s="73"/>
    </row>
  </sheetData>
  <customSheetViews>
    <customSheetView guid="{EDC1BD6E-863A-4FC6-A3A9-F32079F4F0C1}">
      <selection activeCell="J34" sqref="J34"/>
      <pageMargins left="0.7" right="0.7" top="0.75" bottom="0.75" header="0.3" footer="0.3"/>
      <pageSetup paperSize="9" orientation="portrait" verticalDpi="0" r:id="rId1"/>
      <headerFooter>
        <oddHeader>&amp;LINSERT YOUR NHS Foundation Trust&amp;RStatement of accounts 2014/15</oddHeader>
      </headerFooter>
    </customSheetView>
  </customSheetViews>
  <pageMargins left="0.70866141732283472" right="0.70866141732283472" top="0.74803149606299213" bottom="0.74803149606299213" header="0.31496062992125984" footer="0.31496062992125984"/>
  <pageSetup paperSize="9" orientation="portrait" r:id="rId2"/>
  <headerFooter>
    <oddHeader>&amp;C&amp;10Hull University Teaching Hospitals NHS Trust - Annual Accounts 2018/19</oddHeader>
    <oddFooter>&amp;C&amp;10Page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topLeftCell="A19" zoomScaleNormal="100" workbookViewId="0">
      <selection activeCell="A19" sqref="A1:XFD1048576"/>
    </sheetView>
  </sheetViews>
  <sheetFormatPr defaultColWidth="9.109375" defaultRowHeight="11.4" x14ac:dyDescent="0.2"/>
  <cols>
    <col min="1" max="1" width="1.33203125" style="257" customWidth="1"/>
    <col min="2" max="2" width="85.6640625" style="33" customWidth="1"/>
    <col min="3" max="3" width="12.109375" style="33" customWidth="1"/>
    <col min="4" max="4" width="89.6640625" style="33" customWidth="1"/>
    <col min="5" max="16384" width="9.109375" style="327"/>
  </cols>
  <sheetData>
    <row r="1" spans="1:4" ht="12" x14ac:dyDescent="0.25">
      <c r="B1" s="36" t="s">
        <v>474</v>
      </c>
    </row>
    <row r="3" spans="1:4" ht="12" x14ac:dyDescent="0.25">
      <c r="A3" s="331">
        <v>1</v>
      </c>
      <c r="B3" s="36" t="str">
        <f>"Note "&amp;A3&amp;" Accounting policies and other information"</f>
        <v>Note 1 Accounting policies and other information</v>
      </c>
    </row>
    <row r="4" spans="1:4" ht="12" x14ac:dyDescent="0.25">
      <c r="A4" s="331"/>
      <c r="B4" s="36"/>
    </row>
    <row r="5" spans="1:4" ht="12" x14ac:dyDescent="0.25">
      <c r="A5" s="257">
        <v>1</v>
      </c>
      <c r="B5" s="36" t="str">
        <f>"Note 1." &amp; A5&amp; " Basis of preparation"</f>
        <v>Note 1.1 Basis of preparation</v>
      </c>
    </row>
    <row r="6" spans="1:4" ht="118.2" customHeight="1" x14ac:dyDescent="0.2">
      <c r="A6" s="350"/>
      <c r="B6" s="351" t="s">
        <v>1104</v>
      </c>
      <c r="C6" s="108"/>
      <c r="D6" s="108"/>
    </row>
    <row r="7" spans="1:4" x14ac:dyDescent="0.2">
      <c r="B7" s="326"/>
    </row>
    <row r="8" spans="1:4" ht="12" x14ac:dyDescent="0.25">
      <c r="A8" s="257">
        <f>A5+0.1</f>
        <v>1.1000000000000001</v>
      </c>
      <c r="B8" s="36" t="str">
        <f>"Note 1." &amp; A8&amp; " Accounting convention"</f>
        <v>Note 1.1.1 Accounting convention</v>
      </c>
    </row>
    <row r="9" spans="1:4" ht="22.8" x14ac:dyDescent="0.2">
      <c r="B9" s="352" t="s">
        <v>957</v>
      </c>
    </row>
    <row r="10" spans="1:4" x14ac:dyDescent="0.2">
      <c r="B10" s="326"/>
      <c r="C10" s="326"/>
      <c r="D10" s="326"/>
    </row>
    <row r="11" spans="1:4" ht="12" x14ac:dyDescent="0.25">
      <c r="A11" s="257">
        <f>ROUNDDOWN(A8,0)+0.2</f>
        <v>1.2</v>
      </c>
      <c r="B11" s="37" t="str">
        <f>"Note 1." &amp; A11&amp; " Going concern"</f>
        <v>Note 1.1.2 Going concern</v>
      </c>
      <c r="C11" s="326"/>
      <c r="D11" s="326"/>
    </row>
    <row r="12" spans="1:4" ht="42" customHeight="1" x14ac:dyDescent="0.2">
      <c r="B12" s="353" t="s">
        <v>1079</v>
      </c>
      <c r="C12" s="108"/>
      <c r="D12" s="326"/>
    </row>
    <row r="13" spans="1:4" s="673" customFormat="1" ht="11.4" customHeight="1" x14ac:dyDescent="0.2">
      <c r="A13" s="680"/>
      <c r="B13" s="353"/>
      <c r="C13" s="683"/>
      <c r="D13" s="686"/>
    </row>
    <row r="14" spans="1:4" s="673" customFormat="1" ht="46.95" customHeight="1" x14ac:dyDescent="0.2">
      <c r="A14" s="680"/>
      <c r="B14" s="353" t="s">
        <v>1114</v>
      </c>
      <c r="C14" s="683"/>
      <c r="D14" s="686"/>
    </row>
    <row r="15" spans="1:4" s="673" customFormat="1" ht="11.4" customHeight="1" x14ac:dyDescent="0.2">
      <c r="A15" s="680"/>
      <c r="B15" s="353"/>
      <c r="C15" s="683"/>
      <c r="D15" s="686"/>
    </row>
    <row r="16" spans="1:4" s="673" customFormat="1" ht="57.6" customHeight="1" x14ac:dyDescent="0.2">
      <c r="A16" s="680"/>
      <c r="B16" s="788" t="s">
        <v>1149</v>
      </c>
      <c r="C16" s="683"/>
      <c r="D16" s="686"/>
    </row>
    <row r="17" spans="1:4" s="673" customFormat="1" ht="11.4" customHeight="1" x14ac:dyDescent="0.2">
      <c r="A17" s="680"/>
      <c r="B17" s="353"/>
      <c r="C17" s="683"/>
      <c r="D17" s="686"/>
    </row>
    <row r="18" spans="1:4" s="673" customFormat="1" ht="69.599999999999994" customHeight="1" x14ac:dyDescent="0.2">
      <c r="A18" s="680"/>
      <c r="B18" s="590" t="s">
        <v>1150</v>
      </c>
      <c r="C18" s="683"/>
      <c r="D18" s="686"/>
    </row>
    <row r="19" spans="1:4" s="673" customFormat="1" ht="11.4" customHeight="1" x14ac:dyDescent="0.2">
      <c r="A19" s="680"/>
      <c r="B19" s="353"/>
      <c r="C19" s="683"/>
      <c r="D19" s="686"/>
    </row>
    <row r="20" spans="1:4" s="673" customFormat="1" ht="57.6" customHeight="1" x14ac:dyDescent="0.2">
      <c r="A20" s="680"/>
      <c r="B20" s="759" t="s">
        <v>1151</v>
      </c>
      <c r="C20" s="683"/>
      <c r="D20" s="686"/>
    </row>
    <row r="21" spans="1:4" s="673" customFormat="1" ht="5.4" customHeight="1" x14ac:dyDescent="0.2">
      <c r="A21" s="680"/>
      <c r="B21" s="353"/>
      <c r="C21" s="683"/>
      <c r="D21" s="686"/>
    </row>
    <row r="22" spans="1:4" s="673" customFormat="1" ht="3" customHeight="1" x14ac:dyDescent="0.2">
      <c r="A22" s="680"/>
      <c r="B22" s="667"/>
      <c r="C22" s="683"/>
      <c r="D22" s="686"/>
    </row>
    <row r="23" spans="1:4" s="673" customFormat="1" ht="3.6" customHeight="1" x14ac:dyDescent="0.2">
      <c r="A23" s="680"/>
      <c r="B23" s="353"/>
      <c r="C23" s="683"/>
      <c r="D23" s="686"/>
    </row>
    <row r="24" spans="1:4" s="673" customFormat="1" ht="84" customHeight="1" x14ac:dyDescent="0.2">
      <c r="A24" s="680"/>
      <c r="B24" s="353" t="s">
        <v>1222</v>
      </c>
      <c r="C24" s="683"/>
      <c r="D24" s="686"/>
    </row>
    <row r="25" spans="1:4" s="894" customFormat="1" ht="11.4" customHeight="1" x14ac:dyDescent="0.2">
      <c r="A25" s="722"/>
      <c r="B25" s="353"/>
      <c r="C25" s="683"/>
      <c r="D25" s="896"/>
    </row>
    <row r="26" spans="1:4" s="894" customFormat="1" ht="12.6" customHeight="1" x14ac:dyDescent="0.2">
      <c r="A26" s="722"/>
      <c r="C26" s="683"/>
      <c r="D26" s="896"/>
    </row>
    <row r="27" spans="1:4" s="673" customFormat="1" ht="90" customHeight="1" x14ac:dyDescent="0.2">
      <c r="A27" s="680"/>
      <c r="C27" s="683"/>
      <c r="D27" s="686"/>
    </row>
    <row r="28" spans="1:4" s="673" customFormat="1" ht="7.2" customHeight="1" x14ac:dyDescent="0.2">
      <c r="A28" s="680"/>
      <c r="B28" s="353"/>
      <c r="C28" s="683"/>
      <c r="D28" s="686"/>
    </row>
    <row r="29" spans="1:4" s="673" customFormat="1" ht="42" customHeight="1" x14ac:dyDescent="0.2">
      <c r="A29" s="680"/>
      <c r="B29" s="353"/>
      <c r="C29" s="683"/>
      <c r="D29" s="686"/>
    </row>
    <row r="30" spans="1:4" s="673" customFormat="1" ht="42" customHeight="1" x14ac:dyDescent="0.2">
      <c r="A30" s="680"/>
      <c r="B30" s="353"/>
      <c r="C30" s="683"/>
      <c r="D30" s="686"/>
    </row>
    <row r="31" spans="1:4" s="673" customFormat="1" ht="42" customHeight="1" x14ac:dyDescent="0.2">
      <c r="A31" s="680"/>
      <c r="B31" s="353"/>
      <c r="C31" s="683"/>
      <c r="D31" s="686"/>
    </row>
    <row r="32" spans="1:4" s="673" customFormat="1" ht="42" customHeight="1" x14ac:dyDescent="0.2">
      <c r="A32" s="680"/>
      <c r="B32" s="353"/>
      <c r="C32" s="683"/>
      <c r="D32" s="686"/>
    </row>
    <row r="33" spans="1:4" x14ac:dyDescent="0.2">
      <c r="B33" s="326"/>
    </row>
    <row r="34" spans="1:4" ht="12" x14ac:dyDescent="0.25">
      <c r="A34" s="257">
        <f>A5+1</f>
        <v>2</v>
      </c>
      <c r="B34" s="36"/>
      <c r="C34" s="329"/>
      <c r="D34" s="329"/>
    </row>
    <row r="35" spans="1:4" x14ac:dyDescent="0.2">
      <c r="B35" s="354"/>
      <c r="C35" s="329"/>
      <c r="D35" s="329"/>
    </row>
    <row r="36" spans="1:4" ht="11.4" customHeight="1" x14ac:dyDescent="0.2">
      <c r="B36" s="356"/>
      <c r="C36" s="329"/>
      <c r="D36" s="329"/>
    </row>
    <row r="37" spans="1:4" ht="13.2" customHeight="1" x14ac:dyDescent="0.2">
      <c r="B37" s="356"/>
      <c r="C37" s="329"/>
      <c r="D37" s="329"/>
    </row>
    <row r="38" spans="1:4" ht="11.4" customHeight="1" x14ac:dyDescent="0.2">
      <c r="B38" s="363"/>
      <c r="C38" s="329"/>
      <c r="D38" s="329"/>
    </row>
    <row r="39" spans="1:4" x14ac:dyDescent="0.2">
      <c r="B39" s="357"/>
      <c r="C39" s="329"/>
      <c r="D39" s="329"/>
    </row>
    <row r="40" spans="1:4" x14ac:dyDescent="0.2">
      <c r="B40" s="364"/>
    </row>
    <row r="41" spans="1:4" x14ac:dyDescent="0.2">
      <c r="B41" s="358"/>
    </row>
    <row r="42" spans="1:4" x14ac:dyDescent="0.2">
      <c r="B42" s="356"/>
    </row>
    <row r="43" spans="1:4" x14ac:dyDescent="0.2">
      <c r="B43" s="359"/>
    </row>
    <row r="44" spans="1:4" x14ac:dyDescent="0.2">
      <c r="B44" s="359"/>
    </row>
    <row r="45" spans="1:4" x14ac:dyDescent="0.2">
      <c r="B45" s="357"/>
    </row>
    <row r="46" spans="1:4" x14ac:dyDescent="0.2">
      <c r="B46" s="360"/>
    </row>
    <row r="47" spans="1:4" x14ac:dyDescent="0.2">
      <c r="B47" s="362"/>
    </row>
    <row r="48" spans="1:4" x14ac:dyDescent="0.2">
      <c r="B48" s="356"/>
    </row>
    <row r="49" spans="1:2" x14ac:dyDescent="0.2">
      <c r="B49" s="361"/>
    </row>
    <row r="51" spans="1:2" ht="12" x14ac:dyDescent="0.25">
      <c r="A51" s="257">
        <f>A34+1</f>
        <v>3</v>
      </c>
      <c r="B51" s="355"/>
    </row>
    <row r="52" spans="1:2" x14ac:dyDescent="0.2">
      <c r="B52" s="365"/>
    </row>
  </sheetData>
  <pageMargins left="0.70866141732283472" right="0.70866141732283472" top="0.74803149606299213" bottom="0.74803149606299213" header="0.31496062992125984" footer="0.31496062992125984"/>
  <pageSetup paperSize="9" fitToHeight="0" orientation="portrait" r:id="rId1"/>
  <headerFooter>
    <oddHeader>&amp;C&amp;10Hull University Teaching Hospitals NHS Trust - Annual Accounts 2018/19</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57</vt:i4>
      </vt:variant>
    </vt:vector>
  </HeadingPairs>
  <TitlesOfParts>
    <vt:vector size="104" baseType="lpstr">
      <vt:lpstr>Guidance</vt:lpstr>
      <vt:lpstr>Settings</vt:lpstr>
      <vt:lpstr>Title</vt:lpstr>
      <vt:lpstr>Change in Name</vt:lpstr>
      <vt:lpstr>SOCI</vt:lpstr>
      <vt:lpstr>SoFP</vt:lpstr>
      <vt:lpstr>SoCIE</vt:lpstr>
      <vt:lpstr>CF</vt:lpstr>
      <vt:lpstr>Acc'g policies 1</vt:lpstr>
      <vt:lpstr>Acc'g policies 1a</vt:lpstr>
      <vt:lpstr>Acc'g policies 2</vt:lpstr>
      <vt:lpstr>Acc'g policies 3</vt:lpstr>
      <vt:lpstr>Acc'g policies 3a</vt:lpstr>
      <vt:lpstr>Acc'g policies 4</vt:lpstr>
      <vt:lpstr>Acc'g policies 5</vt:lpstr>
      <vt:lpstr>Acc'g policies 6</vt:lpstr>
      <vt:lpstr>Acc'g policies 7</vt:lpstr>
      <vt:lpstr>Acc'g policies 8</vt:lpstr>
      <vt:lpstr>Op Inc</vt:lpstr>
      <vt:lpstr>Op Inc 2</vt:lpstr>
      <vt:lpstr>Op Inc 3</vt:lpstr>
      <vt:lpstr>Op Exp</vt:lpstr>
      <vt:lpstr>Audit &amp; Impair</vt:lpstr>
      <vt:lpstr>Pension costs</vt:lpstr>
      <vt:lpstr>Op lease &amp; Fin Inc</vt:lpstr>
      <vt:lpstr>Finance &amp; other</vt:lpstr>
      <vt:lpstr>Intangibles</vt:lpstr>
      <vt:lpstr>PPE</vt:lpstr>
      <vt:lpstr>PPE 1</vt:lpstr>
      <vt:lpstr>PPE 2</vt:lpstr>
      <vt:lpstr>PPE, Inv Prop</vt:lpstr>
      <vt:lpstr>Invent &amp; Receivables</vt:lpstr>
      <vt:lpstr>Receivables 2</vt:lpstr>
      <vt:lpstr>CCE &amp; Payables</vt:lpstr>
      <vt:lpstr>OL &amp; Borrowings</vt:lpstr>
      <vt:lpstr>Finance leases</vt:lpstr>
      <vt:lpstr>Provisions</vt:lpstr>
      <vt:lpstr>C&amp;O</vt:lpstr>
      <vt:lpstr>PFI LIFT Other</vt:lpstr>
      <vt:lpstr>PFI LIFT Other (2)</vt:lpstr>
      <vt:lpstr>FI1</vt:lpstr>
      <vt:lpstr>FI2</vt:lpstr>
      <vt:lpstr>FI2 (2)</vt:lpstr>
      <vt:lpstr>L&amp;SP, gifts, New Stds</vt:lpstr>
      <vt:lpstr>RP, Transfers, EARP</vt:lpstr>
      <vt:lpstr>CRL and breakeven duty</vt:lpstr>
      <vt:lpstr>breakeven duty 2</vt:lpstr>
      <vt:lpstr>ApprovalDate</vt:lpstr>
      <vt:lpstr>ComparativeFY</vt:lpstr>
      <vt:lpstr>comparativestartyear</vt:lpstr>
      <vt:lpstr>ComparativeYear</vt:lpstr>
      <vt:lpstr>ComparativeYearEnd</vt:lpstr>
      <vt:lpstr>ComparativeYearStart</vt:lpstr>
      <vt:lpstr>CurrentFY</vt:lpstr>
      <vt:lpstr>CurrentYear</vt:lpstr>
      <vt:lpstr>CurrentYearEnd</vt:lpstr>
      <vt:lpstr>CurrentYearStart</vt:lpstr>
      <vt:lpstr>NextFY</vt:lpstr>
      <vt:lpstr>'Acc''g policies 1'!Print_Area</vt:lpstr>
      <vt:lpstr>'Acc''g policies 1a'!Print_Area</vt:lpstr>
      <vt:lpstr>'Acc''g policies 2'!Print_Area</vt:lpstr>
      <vt:lpstr>'Acc''g policies 3'!Print_Area</vt:lpstr>
      <vt:lpstr>'Acc''g policies 3a'!Print_Area</vt:lpstr>
      <vt:lpstr>'Acc''g policies 4'!Print_Area</vt:lpstr>
      <vt:lpstr>'Acc''g policies 5'!Print_Area</vt:lpstr>
      <vt:lpstr>'Acc''g policies 6'!Print_Area</vt:lpstr>
      <vt:lpstr>'Acc''g policies 7'!Print_Area</vt:lpstr>
      <vt:lpstr>'Acc''g policies 8'!Print_Area</vt:lpstr>
      <vt:lpstr>'Audit &amp; Impair'!Print_Area</vt:lpstr>
      <vt:lpstr>'breakeven duty 2'!Print_Area</vt:lpstr>
      <vt:lpstr>'C&amp;O'!Print_Area</vt:lpstr>
      <vt:lpstr>'CCE &amp; Payables'!Print_Area</vt:lpstr>
      <vt:lpstr>CF!Print_Area</vt:lpstr>
      <vt:lpstr>'CRL and breakeven duty'!Print_Area</vt:lpstr>
      <vt:lpstr>'FI1'!Print_Area</vt:lpstr>
      <vt:lpstr>'FI2'!Print_Area</vt:lpstr>
      <vt:lpstr>'FI2 (2)'!Print_Area</vt:lpstr>
      <vt:lpstr>'Finance &amp; other'!Print_Area</vt:lpstr>
      <vt:lpstr>'Finance leases'!Print_Area</vt:lpstr>
      <vt:lpstr>Guidance!Print_Area</vt:lpstr>
      <vt:lpstr>Intangibles!Print_Area</vt:lpstr>
      <vt:lpstr>'Invent &amp; Receivables'!Print_Area</vt:lpstr>
      <vt:lpstr>'L&amp;SP, gifts, New Stds'!Print_Area</vt:lpstr>
      <vt:lpstr>'OL &amp; Borrowings'!Print_Area</vt:lpstr>
      <vt:lpstr>'Op Exp'!Print_Area</vt:lpstr>
      <vt:lpstr>'Op Inc'!Print_Area</vt:lpstr>
      <vt:lpstr>'Op Inc 2'!Print_Area</vt:lpstr>
      <vt:lpstr>'Op Inc 3'!Print_Area</vt:lpstr>
      <vt:lpstr>'Op lease &amp; Fin Inc'!Print_Area</vt:lpstr>
      <vt:lpstr>'PFI LIFT Other'!Print_Area</vt:lpstr>
      <vt:lpstr>'PFI LIFT Other (2)'!Print_Area</vt:lpstr>
      <vt:lpstr>PPE!Print_Area</vt:lpstr>
      <vt:lpstr>'PPE 1'!Print_Area</vt:lpstr>
      <vt:lpstr>'PPE 2'!Print_Area</vt:lpstr>
      <vt:lpstr>'PPE, Inv Prop'!Print_Area</vt:lpstr>
      <vt:lpstr>Provisions!Print_Area</vt:lpstr>
      <vt:lpstr>'Receivables 2'!Print_Area</vt:lpstr>
      <vt:lpstr>'RP, Transfers, EARP'!Print_Area</vt:lpstr>
      <vt:lpstr>Settings!Print_Area</vt:lpstr>
      <vt:lpstr>SOCI!Print_Area</vt:lpstr>
      <vt:lpstr>SoCIE!Print_Area</vt:lpstr>
      <vt:lpstr>SoFP!Print_Area</vt:lpstr>
      <vt:lpstr>SelectedFT</vt:lpstr>
      <vt:lpstr>Status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Eleanor Shirtliff</dc:creator>
  <cp:lastModifiedBy>Graby, Matthew</cp:lastModifiedBy>
  <cp:lastPrinted>2019-05-24T09:54:05Z</cp:lastPrinted>
  <dcterms:created xsi:type="dcterms:W3CDTF">2014-10-27T11:17:27Z</dcterms:created>
  <dcterms:modified xsi:type="dcterms:W3CDTF">2019-12-12T13:26:22Z</dcterms:modified>
</cp:coreProperties>
</file>